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五指山中学合格人员" sheetId="1" r:id="rId1"/>
  </sheets>
  <calcPr calcId="144525"/>
</workbook>
</file>

<file path=xl/sharedStrings.xml><?xml version="1.0" encoding="utf-8"?>
<sst xmlns="http://schemas.openxmlformats.org/spreadsheetml/2006/main" count="514" uniqueCount="257">
  <si>
    <t>附件2</t>
  </si>
  <si>
    <t>2019年五指山市公开招聘五指山中学高中专任教师招聘审核通过人员名单</t>
  </si>
  <si>
    <t>序号</t>
  </si>
  <si>
    <t>姓名</t>
  </si>
  <si>
    <t>身份证号码</t>
  </si>
  <si>
    <t>审核结果</t>
  </si>
  <si>
    <t>460031********5644</t>
  </si>
  <si>
    <t>合格</t>
  </si>
  <si>
    <t>460034********1221</t>
  </si>
  <si>
    <t>460027********8546</t>
  </si>
  <si>
    <t>460001********0720</t>
  </si>
  <si>
    <t>460001********2231</t>
  </si>
  <si>
    <t>460027********2946</t>
  </si>
  <si>
    <t>460200********208X</t>
  </si>
  <si>
    <t>460003********4627</t>
  </si>
  <si>
    <t>460028********282X</t>
  </si>
  <si>
    <t>500223********6669</t>
  </si>
  <si>
    <t>330721********6023</t>
  </si>
  <si>
    <t>460004********4449</t>
  </si>
  <si>
    <t>460001********0022</t>
  </si>
  <si>
    <t>460001********0721</t>
  </si>
  <si>
    <t>460102********1867</t>
  </si>
  <si>
    <t>469003********5029</t>
  </si>
  <si>
    <t>469029********3024</t>
  </si>
  <si>
    <t>460007********0428</t>
  </si>
  <si>
    <t>610326********0621</t>
  </si>
  <si>
    <t>460033********454X</t>
  </si>
  <si>
    <t>460005********102X</t>
  </si>
  <si>
    <t>460003********0226</t>
  </si>
  <si>
    <t>460007********7223</t>
  </si>
  <si>
    <t>460001********0748</t>
  </si>
  <si>
    <t>460033********322X</t>
  </si>
  <si>
    <t>460007********7243</t>
  </si>
  <si>
    <t>460035********1323</t>
  </si>
  <si>
    <t>460005********6029</t>
  </si>
  <si>
    <t>460001********0723</t>
  </si>
  <si>
    <t>460034********0027</t>
  </si>
  <si>
    <t>460028********5640</t>
  </si>
  <si>
    <t>460003********4024</t>
  </si>
  <si>
    <t>460003********4643</t>
  </si>
  <si>
    <t>460026********3924</t>
  </si>
  <si>
    <t>460003********678X</t>
  </si>
  <si>
    <t>460025********2718</t>
  </si>
  <si>
    <t>460003********7629</t>
  </si>
  <si>
    <t>460007********6220</t>
  </si>
  <si>
    <t>460004********0027</t>
  </si>
  <si>
    <t>460034********5830</t>
  </si>
  <si>
    <t>460033********3267</t>
  </si>
  <si>
    <t>460031********082X</t>
  </si>
  <si>
    <t>460003********2442</t>
  </si>
  <si>
    <t>460006********232X</t>
  </si>
  <si>
    <t>460003********6626</t>
  </si>
  <si>
    <t>460003********4029</t>
  </si>
  <si>
    <t>460033********3226</t>
  </si>
  <si>
    <t>460200********2720</t>
  </si>
  <si>
    <t>460003********4449</t>
  </si>
  <si>
    <t>460033********4860</t>
  </si>
  <si>
    <t>460007********7610</t>
  </si>
  <si>
    <t>460030********5411</t>
  </si>
  <si>
    <t>460007********5768</t>
  </si>
  <si>
    <t>460028********3223</t>
  </si>
  <si>
    <t>460033********508X</t>
  </si>
  <si>
    <t>460200********1665</t>
  </si>
  <si>
    <t>460003********3024</t>
  </si>
  <si>
    <t>460027********4722</t>
  </si>
  <si>
    <t>460003********3215</t>
  </si>
  <si>
    <t>460033********3880</t>
  </si>
  <si>
    <t>460200********4466</t>
  </si>
  <si>
    <t>460033********4845</t>
  </si>
  <si>
    <t>460003********6640</t>
  </si>
  <si>
    <t>140622********2941</t>
  </si>
  <si>
    <t>460003********2226</t>
  </si>
  <si>
    <t>460028********6078</t>
  </si>
  <si>
    <t>152321********0667</t>
  </si>
  <si>
    <t>460033********484X</t>
  </si>
  <si>
    <t>460003********262X</t>
  </si>
  <si>
    <t>460003********8220</t>
  </si>
  <si>
    <t>460028********7221</t>
  </si>
  <si>
    <t>460005********2529</t>
  </si>
  <si>
    <t>460030********6921</t>
  </si>
  <si>
    <t>469024********0027</t>
  </si>
  <si>
    <t>460004********6425</t>
  </si>
  <si>
    <t>460033********4865</t>
  </si>
  <si>
    <t>460006********8722</t>
  </si>
  <si>
    <t>460033********5105</t>
  </si>
  <si>
    <t>460003********4624</t>
  </si>
  <si>
    <t>460032********6228</t>
  </si>
  <si>
    <t>460033********4801</t>
  </si>
  <si>
    <t>460033********5084</t>
  </si>
  <si>
    <t>152631********2723</t>
  </si>
  <si>
    <t>460300********0329</t>
  </si>
  <si>
    <t>421181********0063</t>
  </si>
  <si>
    <t>460003********4821</t>
  </si>
  <si>
    <t>460002********3823</t>
  </si>
  <si>
    <t>460003********2845</t>
  </si>
  <si>
    <t>460003********6825</t>
  </si>
  <si>
    <t>460002********6224</t>
  </si>
  <si>
    <t>460003********0220</t>
  </si>
  <si>
    <t>460004********522X</t>
  </si>
  <si>
    <t>460028********0881</t>
  </si>
  <si>
    <t>460030********5120</t>
  </si>
  <si>
    <t>460004********2022</t>
  </si>
  <si>
    <t>460031********1222</t>
  </si>
  <si>
    <t>460025********0023</t>
  </si>
  <si>
    <t>460300********0628</t>
  </si>
  <si>
    <t>460007********4988</t>
  </si>
  <si>
    <t>460032********6249</t>
  </si>
  <si>
    <t>460001********0716</t>
  </si>
  <si>
    <t>460035********2524</t>
  </si>
  <si>
    <t>460030********1827</t>
  </si>
  <si>
    <t>469007********496X</t>
  </si>
  <si>
    <t>460001********0740</t>
  </si>
  <si>
    <t>460006********164X</t>
  </si>
  <si>
    <t>460034********0441</t>
  </si>
  <si>
    <t>460026********5141</t>
  </si>
  <si>
    <t>460003********3497</t>
  </si>
  <si>
    <t>460032********7620</t>
  </si>
  <si>
    <t>460001********0726</t>
  </si>
  <si>
    <t>460200********5125</t>
  </si>
  <si>
    <t>460200********4699</t>
  </si>
  <si>
    <t>460200********5137</t>
  </si>
  <si>
    <t>460033********4528</t>
  </si>
  <si>
    <t>460027********0629</t>
  </si>
  <si>
    <t>460033********4515</t>
  </si>
  <si>
    <t>460007********0039</t>
  </si>
  <si>
    <t>460033********4820</t>
  </si>
  <si>
    <t>469027********6880</t>
  </si>
  <si>
    <t>460033********4186</t>
  </si>
  <si>
    <t>460004********5266</t>
  </si>
  <si>
    <t>460035********1113</t>
  </si>
  <si>
    <t>460003********5811</t>
  </si>
  <si>
    <t>460006********2340</t>
  </si>
  <si>
    <t>460031********5291</t>
  </si>
  <si>
    <t>452131********1822</t>
  </si>
  <si>
    <t>460003********6628</t>
  </si>
  <si>
    <t>460004********5626</t>
  </si>
  <si>
    <t>460033********3225</t>
  </si>
  <si>
    <t>152801********0040</t>
  </si>
  <si>
    <t>460006********2322</t>
  </si>
  <si>
    <t>460001********1022</t>
  </si>
  <si>
    <t>460007********726X</t>
  </si>
  <si>
    <t>460006********3142</t>
  </si>
  <si>
    <t>460027********1327</t>
  </si>
  <si>
    <t>460033********3249</t>
  </si>
  <si>
    <t>460026********2723</t>
  </si>
  <si>
    <t>460103********3620</t>
  </si>
  <si>
    <t>469003********9521</t>
  </si>
  <si>
    <t>460032********7684</t>
  </si>
  <si>
    <t>460026********2725</t>
  </si>
  <si>
    <t>460006********1639</t>
  </si>
  <si>
    <t>460007********0027</t>
  </si>
  <si>
    <t>460033********3570</t>
  </si>
  <si>
    <t>460026********4527</t>
  </si>
  <si>
    <t>460007********722X</t>
  </si>
  <si>
    <t>460006********1621</t>
  </si>
  <si>
    <t>460028********0901</t>
  </si>
  <si>
    <t>460033********4487</t>
  </si>
  <si>
    <t>511322********8180</t>
  </si>
  <si>
    <t>460003********2417</t>
  </si>
  <si>
    <t>460027********472X</t>
  </si>
  <si>
    <t>460031********1227</t>
  </si>
  <si>
    <t>460007********0843</t>
  </si>
  <si>
    <t>460027********6611</t>
  </si>
  <si>
    <t>460003********2212</t>
  </si>
  <si>
    <t>460003********2821</t>
  </si>
  <si>
    <t>460033********4489</t>
  </si>
  <si>
    <t>460026********5112</t>
  </si>
  <si>
    <t>460033********3223</t>
  </si>
  <si>
    <t>460033********5083</t>
  </si>
  <si>
    <t>460006********2020</t>
  </si>
  <si>
    <t>460026********0028</t>
  </si>
  <si>
    <t>460028********482X</t>
  </si>
  <si>
    <t>460028********7224</t>
  </si>
  <si>
    <t>460007********7612</t>
  </si>
  <si>
    <t>460007********4661</t>
  </si>
  <si>
    <t>440825********3461</t>
  </si>
  <si>
    <t>460003********702X</t>
  </si>
  <si>
    <t>620421********4163</t>
  </si>
  <si>
    <t>460007********5001</t>
  </si>
  <si>
    <t>460007********536X</t>
  </si>
  <si>
    <t>460033********3220</t>
  </si>
  <si>
    <t>460026********3041</t>
  </si>
  <si>
    <t>460033********4906</t>
  </si>
  <si>
    <t>460031********6813</t>
  </si>
  <si>
    <t>460200********0021</t>
  </si>
  <si>
    <t>513002********9824</t>
  </si>
  <si>
    <t>469027********4483</t>
  </si>
  <si>
    <t>460007********7227</t>
  </si>
  <si>
    <t>522732********0086</t>
  </si>
  <si>
    <t>460002********5610</t>
  </si>
  <si>
    <t>460033********3923</t>
  </si>
  <si>
    <t>460007********7240</t>
  </si>
  <si>
    <t>460028********5220</t>
  </si>
  <si>
    <t>460026********0325</t>
  </si>
  <si>
    <t>460007********7225</t>
  </si>
  <si>
    <t>469021********3343</t>
  </si>
  <si>
    <t>460027********1324</t>
  </si>
  <si>
    <t>460007********5888</t>
  </si>
  <si>
    <t>460028********7620</t>
  </si>
  <si>
    <t>460033********4485</t>
  </si>
  <si>
    <t>460033********0370</t>
  </si>
  <si>
    <t>410703********2026</t>
  </si>
  <si>
    <t>460003********4618</t>
  </si>
  <si>
    <t>460200********4707</t>
  </si>
  <si>
    <t>460028********2423</t>
  </si>
  <si>
    <t>460007********4368</t>
  </si>
  <si>
    <t>469007********7223</t>
  </si>
  <si>
    <t>460033********7188</t>
  </si>
  <si>
    <t>460007********0020</t>
  </si>
  <si>
    <t>460003********2107</t>
  </si>
  <si>
    <t>460007********2084</t>
  </si>
  <si>
    <t>460033********4501</t>
  </si>
  <si>
    <t>469023********2628</t>
  </si>
  <si>
    <t>460006********4062</t>
  </si>
  <si>
    <t>460004********3666</t>
  </si>
  <si>
    <t>460033********4478</t>
  </si>
  <si>
    <t>460027********6223</t>
  </si>
  <si>
    <t>460028********0042</t>
  </si>
  <si>
    <t>460026********3069</t>
  </si>
  <si>
    <t>460006********5237</t>
  </si>
  <si>
    <t>460027********3718</t>
  </si>
  <si>
    <t>460001********071X</t>
  </si>
  <si>
    <t>460030********1217</t>
  </si>
  <si>
    <t>460031********4450</t>
  </si>
  <si>
    <t>360732********3310</t>
  </si>
  <si>
    <t>460006********2714</t>
  </si>
  <si>
    <t>460033********0012</t>
  </si>
  <si>
    <t>460034********2119</t>
  </si>
  <si>
    <t>460001********1018</t>
  </si>
  <si>
    <t>460035********2312</t>
  </si>
  <si>
    <t>460026********391X</t>
  </si>
  <si>
    <t>460001********0012</t>
  </si>
  <si>
    <t>469003********0915</t>
  </si>
  <si>
    <t>460033********0016</t>
  </si>
  <si>
    <t>460034********1515</t>
  </si>
  <si>
    <t>460001********0733</t>
  </si>
  <si>
    <t>460006********4615</t>
  </si>
  <si>
    <t>460025********0915</t>
  </si>
  <si>
    <t>460034********5013</t>
  </si>
  <si>
    <t>460035********2712</t>
  </si>
  <si>
    <t>460001********0011</t>
  </si>
  <si>
    <t>460003********5213</t>
  </si>
  <si>
    <t>411303********1022</t>
  </si>
  <si>
    <t>460004********0858</t>
  </si>
  <si>
    <t>460027********0413</t>
  </si>
  <si>
    <t>460027********373X</t>
  </si>
  <si>
    <t>460027********7616</t>
  </si>
  <si>
    <t>460026********0951</t>
  </si>
  <si>
    <t>452629********0323</t>
  </si>
  <si>
    <t>460001********0620</t>
  </si>
  <si>
    <t>460027********3712</t>
  </si>
  <si>
    <t>460001********0516</t>
  </si>
  <si>
    <t>460034********5515</t>
  </si>
  <si>
    <t>522627********5216</t>
  </si>
  <si>
    <t>460027********4114</t>
  </si>
  <si>
    <t>460005********3734</t>
  </si>
  <si>
    <t>411403********5428</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</si>
</sst>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23">
    <font>
      <sz val="11"/>
      <color theme="1"/>
      <name val="宋体"/>
      <charset val="134"/>
      <scheme val="minor"/>
    </font>
    <font>
      <sz val="14"/>
      <color theme="1"/>
      <name val="黑体"/>
      <charset val="134"/>
    </font>
    <font>
      <sz val="18"/>
      <color theme="1"/>
      <name val="方正小标宋简体"/>
      <charset val="134"/>
    </font>
    <font>
      <sz val="16"/>
      <color theme="1"/>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FA7D00"/>
      <name val="宋体"/>
      <charset val="0"/>
      <scheme val="minor"/>
    </font>
    <font>
      <b/>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6"/>
        <bgColor indexed="64"/>
      </patternFill>
    </fill>
    <fill>
      <patternFill patternType="solid">
        <fgColor rgb="FFFFEB9C"/>
        <bgColor indexed="64"/>
      </patternFill>
    </fill>
    <fill>
      <patternFill patternType="solid">
        <fgColor theme="4" tint="0.399975585192419"/>
        <bgColor indexed="64"/>
      </patternFill>
    </fill>
    <fill>
      <patternFill patternType="solid">
        <fgColor rgb="FFFFCC99"/>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8"/>
        <bgColor indexed="64"/>
      </patternFill>
    </fill>
    <fill>
      <patternFill patternType="solid">
        <fgColor theme="7"/>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9"/>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17" borderId="0" applyNumberFormat="0" applyBorder="0" applyAlignment="0" applyProtection="0">
      <alignment vertical="center"/>
    </xf>
    <xf numFmtId="0" fontId="19" fillId="1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15"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20"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9" borderId="5" applyNumberFormat="0" applyFont="0" applyAlignment="0" applyProtection="0">
      <alignment vertical="center"/>
    </xf>
    <xf numFmtId="0" fontId="12" fillId="21" borderId="0" applyNumberFormat="0" applyBorder="0" applyAlignment="0" applyProtection="0">
      <alignment vertical="center"/>
    </xf>
    <xf numFmtId="0" fontId="9"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4" fillId="0" borderId="3" applyNumberFormat="0" applyFill="0" applyAlignment="0" applyProtection="0">
      <alignment vertical="center"/>
    </xf>
    <xf numFmtId="0" fontId="6" fillId="0" borderId="3" applyNumberFormat="0" applyFill="0" applyAlignment="0" applyProtection="0">
      <alignment vertical="center"/>
    </xf>
    <xf numFmtId="0" fontId="12" fillId="12" borderId="0" applyNumberFormat="0" applyBorder="0" applyAlignment="0" applyProtection="0">
      <alignment vertical="center"/>
    </xf>
    <xf numFmtId="0" fontId="9" fillId="0" borderId="7" applyNumberFormat="0" applyFill="0" applyAlignment="0" applyProtection="0">
      <alignment vertical="center"/>
    </xf>
    <xf numFmtId="0" fontId="12" fillId="19" borderId="0" applyNumberFormat="0" applyBorder="0" applyAlignment="0" applyProtection="0">
      <alignment vertical="center"/>
    </xf>
    <xf numFmtId="0" fontId="13" fillId="8" borderId="4" applyNumberFormat="0" applyAlignment="0" applyProtection="0">
      <alignment vertical="center"/>
    </xf>
    <xf numFmtId="0" fontId="21" fillId="8" borderId="8" applyNumberFormat="0" applyAlignment="0" applyProtection="0">
      <alignment vertical="center"/>
    </xf>
    <xf numFmtId="0" fontId="5" fillId="4" borderId="2" applyNumberFormat="0" applyAlignment="0" applyProtection="0">
      <alignment vertical="center"/>
    </xf>
    <xf numFmtId="0" fontId="4" fillId="16" borderId="0" applyNumberFormat="0" applyBorder="0" applyAlignment="0" applyProtection="0">
      <alignment vertical="center"/>
    </xf>
    <xf numFmtId="0" fontId="12" fillId="7" borderId="0" applyNumberFormat="0" applyBorder="0" applyAlignment="0" applyProtection="0">
      <alignment vertical="center"/>
    </xf>
    <xf numFmtId="0" fontId="20" fillId="0" borderId="9" applyNumberFormat="0" applyFill="0" applyAlignment="0" applyProtection="0">
      <alignment vertical="center"/>
    </xf>
    <xf numFmtId="0" fontId="15" fillId="0" borderId="6" applyNumberFormat="0" applyFill="0" applyAlignment="0" applyProtection="0">
      <alignment vertical="center"/>
    </xf>
    <xf numFmtId="0" fontId="22" fillId="24" borderId="0" applyNumberFormat="0" applyBorder="0" applyAlignment="0" applyProtection="0">
      <alignment vertical="center"/>
    </xf>
    <xf numFmtId="0" fontId="18" fillId="11" borderId="0" applyNumberFormat="0" applyBorder="0" applyAlignment="0" applyProtection="0">
      <alignment vertical="center"/>
    </xf>
    <xf numFmtId="0" fontId="4" fillId="26" borderId="0" applyNumberFormat="0" applyBorder="0" applyAlignment="0" applyProtection="0">
      <alignment vertical="center"/>
    </xf>
    <xf numFmtId="0" fontId="12" fillId="6" borderId="0" applyNumberFormat="0" applyBorder="0" applyAlignment="0" applyProtection="0">
      <alignment vertical="center"/>
    </xf>
    <xf numFmtId="0" fontId="4" fillId="23" borderId="0" applyNumberFormat="0" applyBorder="0" applyAlignment="0" applyProtection="0">
      <alignment vertical="center"/>
    </xf>
    <xf numFmtId="0" fontId="4" fillId="3" borderId="0" applyNumberFormat="0" applyBorder="0" applyAlignment="0" applyProtection="0">
      <alignment vertical="center"/>
    </xf>
    <xf numFmtId="0" fontId="4" fillId="22" borderId="0" applyNumberFormat="0" applyBorder="0" applyAlignment="0" applyProtection="0">
      <alignment vertical="center"/>
    </xf>
    <xf numFmtId="0" fontId="4" fillId="2" borderId="0" applyNumberFormat="0" applyBorder="0" applyAlignment="0" applyProtection="0">
      <alignment vertical="center"/>
    </xf>
    <xf numFmtId="0" fontId="12" fillId="10" borderId="0" applyNumberFormat="0" applyBorder="0" applyAlignment="0" applyProtection="0">
      <alignment vertical="center"/>
    </xf>
    <xf numFmtId="0" fontId="12" fillId="28" borderId="0" applyNumberFormat="0" applyBorder="0" applyAlignment="0" applyProtection="0">
      <alignment vertical="center"/>
    </xf>
    <xf numFmtId="0" fontId="4" fillId="25" borderId="0" applyNumberFormat="0" applyBorder="0" applyAlignment="0" applyProtection="0">
      <alignment vertical="center"/>
    </xf>
    <xf numFmtId="0" fontId="4" fillId="30" borderId="0" applyNumberFormat="0" applyBorder="0" applyAlignment="0" applyProtection="0">
      <alignment vertical="center"/>
    </xf>
    <xf numFmtId="0" fontId="12" fillId="27" borderId="0" applyNumberFormat="0" applyBorder="0" applyAlignment="0" applyProtection="0">
      <alignment vertical="center"/>
    </xf>
    <xf numFmtId="0" fontId="4" fillId="29" borderId="0" applyNumberFormat="0" applyBorder="0" applyAlignment="0" applyProtection="0">
      <alignment vertical="center"/>
    </xf>
    <xf numFmtId="0" fontId="12" fillId="31" borderId="0" applyNumberFormat="0" applyBorder="0" applyAlignment="0" applyProtection="0">
      <alignment vertical="center"/>
    </xf>
    <xf numFmtId="0" fontId="12" fillId="32" borderId="0" applyNumberFormat="0" applyBorder="0" applyAlignment="0" applyProtection="0">
      <alignment vertical="center"/>
    </xf>
    <xf numFmtId="0" fontId="4" fillId="14" borderId="0" applyNumberFormat="0" applyBorder="0" applyAlignment="0" applyProtection="0">
      <alignment vertical="center"/>
    </xf>
    <xf numFmtId="0" fontId="12" fillId="18" borderId="0" applyNumberFormat="0" applyBorder="0" applyAlignment="0" applyProtection="0">
      <alignment vertical="center"/>
    </xf>
  </cellStyleXfs>
  <cellXfs count="8">
    <xf numFmtId="0" fontId="0" fillId="0" borderId="0" xfId="0">
      <alignment vertical="center"/>
    </xf>
    <xf numFmtId="0" fontId="0" fillId="0" borderId="0" xfId="0" applyAlignment="1">
      <alignment horizontal="center" vertical="center"/>
    </xf>
    <xf numFmtId="0" fontId="1" fillId="0" borderId="0" xfId="0" applyFont="1" applyAlignment="1">
      <alignment horizontal="center" vertical="center"/>
    </xf>
    <xf numFmtId="0" fontId="2" fillId="0" borderId="1" xfId="0" applyFont="1" applyBorder="1" applyAlignment="1">
      <alignment horizontal="center" vertical="center"/>
    </xf>
    <xf numFmtId="0" fontId="0" fillId="0" borderId="1" xfId="0" applyBorder="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center" vertical="center"/>
    </xf>
    <xf numFmtId="0" fontId="0" fillId="0" borderId="0" xfId="0"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57"/>
  <sheetViews>
    <sheetView tabSelected="1" topLeftCell="B1" workbookViewId="0">
      <selection activeCell="B2" sqref="B2:H2"/>
    </sheetView>
  </sheetViews>
  <sheetFormatPr defaultColWidth="9" defaultRowHeight="13.5" outlineLevelCol="7"/>
  <cols>
    <col min="1" max="1" width="9" style="1" hidden="1" customWidth="1"/>
    <col min="2" max="2" width="9" style="1" customWidth="1"/>
    <col min="3" max="3" width="11" style="1" customWidth="1"/>
    <col min="4" max="4" width="29.375" style="1" hidden="1" customWidth="1"/>
    <col min="5" max="5" width="21.75" style="1" hidden="1" customWidth="1"/>
    <col min="6" max="6" width="45" style="1" hidden="1" customWidth="1"/>
    <col min="7" max="7" width="55.25" style="1" customWidth="1"/>
    <col min="8" max="8" width="38.375" style="1" customWidth="1"/>
    <col min="9" max="16384" width="9" style="1"/>
  </cols>
  <sheetData>
    <row r="1" ht="18.75" spans="2:2">
      <c r="B1" s="2" t="s">
        <v>0</v>
      </c>
    </row>
    <row r="2" ht="41.1" customHeight="1" spans="2:8">
      <c r="B2" s="3" t="s">
        <v>1</v>
      </c>
      <c r="C2" s="4"/>
      <c r="D2" s="4"/>
      <c r="E2" s="4"/>
      <c r="F2" s="4"/>
      <c r="G2" s="4"/>
      <c r="H2" s="4"/>
    </row>
    <row r="3" ht="27.95" customHeight="1" spans="2:8">
      <c r="B3" s="5" t="s">
        <v>2</v>
      </c>
      <c r="C3" s="5" t="s">
        <v>3</v>
      </c>
      <c r="D3" s="6"/>
      <c r="E3" s="5"/>
      <c r="F3" s="5"/>
      <c r="G3" s="5" t="s">
        <v>4</v>
      </c>
      <c r="H3" s="5" t="s">
        <v>5</v>
      </c>
    </row>
    <row r="4" ht="24.95" customHeight="1" spans="1:8">
      <c r="A4" s="1" t="str">
        <f>"219120191014090204165336"</f>
        <v>219120191014090204165336</v>
      </c>
      <c r="B4" s="5">
        <v>1</v>
      </c>
      <c r="C4" s="5" t="str">
        <f>"林健玲"</f>
        <v>林健玲</v>
      </c>
      <c r="D4" s="5" t="str">
        <f>"460031199502215644"</f>
        <v>460031199502215644</v>
      </c>
      <c r="E4" s="5" t="str">
        <f>"海南省昌江黎族自治县"</f>
        <v>海南省昌江黎族自治县</v>
      </c>
      <c r="F4" s="5" t="str">
        <f>"海南省昌江县红林学校62号5栋"</f>
        <v>海南省昌江县红林学校62号5栋</v>
      </c>
      <c r="G4" s="5" t="s">
        <v>6</v>
      </c>
      <c r="H4" s="5" t="s">
        <v>7</v>
      </c>
    </row>
    <row r="5" ht="24.95" customHeight="1" spans="1:8">
      <c r="A5" s="7" t="str">
        <f>"219120191014092318165368"</f>
        <v>219120191014092318165368</v>
      </c>
      <c r="B5" s="5">
        <v>2</v>
      </c>
      <c r="C5" s="5" t="str">
        <f>"刘静"</f>
        <v>刘静</v>
      </c>
      <c r="D5" s="5" t="str">
        <f>"460034199109261221"</f>
        <v>460034199109261221</v>
      </c>
      <c r="E5" s="5" t="str">
        <f>"陵水县"</f>
        <v>陵水县</v>
      </c>
      <c r="F5" s="5" t="str">
        <f>"海南省陵水县光坡镇妙景村"</f>
        <v>海南省陵水县光坡镇妙景村</v>
      </c>
      <c r="G5" s="5" t="s">
        <v>8</v>
      </c>
      <c r="H5" s="5" t="s">
        <v>7</v>
      </c>
    </row>
    <row r="6" ht="24.95" customHeight="1" spans="1:8">
      <c r="A6" s="7" t="str">
        <f>"219120191014094928165409"</f>
        <v>219120191014094928165409</v>
      </c>
      <c r="B6" s="5">
        <v>3</v>
      </c>
      <c r="C6" s="5" t="str">
        <f>"符丽丽"</f>
        <v>符丽丽</v>
      </c>
      <c r="D6" s="5" t="str">
        <f>"460027199010078546"</f>
        <v>460027199010078546</v>
      </c>
      <c r="E6" s="5" t="str">
        <f>"海南省澄迈县"</f>
        <v>海南省澄迈县</v>
      </c>
      <c r="F6" s="5" t="str">
        <f>"海南省澄迈县福山镇开发区30号"</f>
        <v>海南省澄迈县福山镇开发区30号</v>
      </c>
      <c r="G6" s="5" t="s">
        <v>9</v>
      </c>
      <c r="H6" s="5" t="s">
        <v>7</v>
      </c>
    </row>
    <row r="7" ht="24.95" customHeight="1" spans="1:8">
      <c r="A7" s="7" t="str">
        <f>"219120191014100523165438"</f>
        <v>219120191014100523165438</v>
      </c>
      <c r="B7" s="5">
        <v>4</v>
      </c>
      <c r="C7" s="5" t="str">
        <f>"盘玥"</f>
        <v>盘玥</v>
      </c>
      <c r="D7" s="5" t="str">
        <f>"460001199407240720"</f>
        <v>460001199407240720</v>
      </c>
      <c r="E7" s="5" t="str">
        <f>"海南省五指山市"</f>
        <v>海南省五指山市</v>
      </c>
      <c r="F7" s="5" t="str">
        <f>"海南省五指山市人民银行宿舍"</f>
        <v>海南省五指山市人民银行宿舍</v>
      </c>
      <c r="G7" s="5" t="s">
        <v>10</v>
      </c>
      <c r="H7" s="5" t="s">
        <v>7</v>
      </c>
    </row>
    <row r="8" ht="24.95" customHeight="1" spans="1:8">
      <c r="A8" s="7" t="str">
        <f>"219120191014105116165508"</f>
        <v>219120191014105116165508</v>
      </c>
      <c r="B8" s="5">
        <v>5</v>
      </c>
      <c r="C8" s="5" t="str">
        <f>"罗靖超"</f>
        <v>罗靖超</v>
      </c>
      <c r="D8" s="5" t="str">
        <f>"460001199511142231"</f>
        <v>460001199511142231</v>
      </c>
      <c r="E8" s="5" t="str">
        <f>"五指山市番阳镇坤步村"</f>
        <v>五指山市番阳镇坤步村</v>
      </c>
      <c r="F8" s="5" t="str">
        <f>"海南省五指山市番阳镇坤步村"</f>
        <v>海南省五指山市番阳镇坤步村</v>
      </c>
      <c r="G8" s="5" t="s">
        <v>11</v>
      </c>
      <c r="H8" s="5" t="s">
        <v>7</v>
      </c>
    </row>
    <row r="9" ht="24.95" customHeight="1" spans="1:8">
      <c r="A9" s="7" t="str">
        <f>"219120191014150647165709"</f>
        <v>219120191014150647165709</v>
      </c>
      <c r="B9" s="5">
        <v>6</v>
      </c>
      <c r="C9" s="5" t="str">
        <f>"温芳艳"</f>
        <v>温芳艳</v>
      </c>
      <c r="D9" s="5" t="str">
        <f>"460027199106182946"</f>
        <v>460027199106182946</v>
      </c>
      <c r="E9" s="5" t="str">
        <f>"海南省澄迈县瑞溪镇"</f>
        <v>海南省澄迈县瑞溪镇</v>
      </c>
      <c r="F9" s="5" t="str">
        <f>"海南省澄迈县瑞溪镇北桥村委会巷头村"</f>
        <v>海南省澄迈县瑞溪镇北桥村委会巷头村</v>
      </c>
      <c r="G9" s="5" t="s">
        <v>12</v>
      </c>
      <c r="H9" s="5" t="s">
        <v>7</v>
      </c>
    </row>
    <row r="10" ht="24.95" customHeight="1" spans="1:8">
      <c r="A10" s="7" t="str">
        <f>"219120191014162811165796"</f>
        <v>219120191014162811165796</v>
      </c>
      <c r="B10" s="5">
        <v>7</v>
      </c>
      <c r="C10" s="5" t="str">
        <f>"庄淑红"</f>
        <v>庄淑红</v>
      </c>
      <c r="D10" s="5" t="str">
        <f>"46020019941021208X"</f>
        <v>46020019941021208X</v>
      </c>
      <c r="E10" s="5" t="str">
        <f>"海南省三亚市"</f>
        <v>海南省三亚市</v>
      </c>
      <c r="F10" s="5" t="str">
        <f>"海南省三亚市立才农场"</f>
        <v>海南省三亚市立才农场</v>
      </c>
      <c r="G10" s="5" t="s">
        <v>13</v>
      </c>
      <c r="H10" s="5" t="s">
        <v>7</v>
      </c>
    </row>
    <row r="11" ht="24.95" customHeight="1" spans="1:8">
      <c r="A11" s="7" t="str">
        <f>"219120191014165043165819"</f>
        <v>219120191014165043165819</v>
      </c>
      <c r="B11" s="5">
        <v>8</v>
      </c>
      <c r="C11" s="5" t="str">
        <f>"符文婷"</f>
        <v>符文婷</v>
      </c>
      <c r="D11" s="5" t="str">
        <f>"460003199708094627"</f>
        <v>460003199708094627</v>
      </c>
      <c r="E11" s="5" t="str">
        <f>"海南省儋州市白马井镇"</f>
        <v>海南省儋州市白马井镇</v>
      </c>
      <c r="F11" s="5" t="str">
        <f>"海南省儋州市白马井镇道恋村"</f>
        <v>海南省儋州市白马井镇道恋村</v>
      </c>
      <c r="G11" s="5" t="s">
        <v>14</v>
      </c>
      <c r="H11" s="5" t="s">
        <v>7</v>
      </c>
    </row>
    <row r="12" ht="24.95" customHeight="1" spans="1:8">
      <c r="A12" s="7" t="str">
        <f>"219120191014180452165879"</f>
        <v>219120191014180452165879</v>
      </c>
      <c r="B12" s="5">
        <v>9</v>
      </c>
      <c r="C12" s="5" t="str">
        <f>"吴婷婷"</f>
        <v>吴婷婷</v>
      </c>
      <c r="D12" s="5" t="str">
        <f>"46002819951217282X"</f>
        <v>46002819951217282X</v>
      </c>
      <c r="E12" s="5" t="str">
        <f>"海南省临高县红华农场"</f>
        <v>海南省临高县红华农场</v>
      </c>
      <c r="F12" s="5" t="str">
        <f>"海南省临高县红华农场红华分场进贤村一队76号"</f>
        <v>海南省临高县红华农场红华分场进贤村一队76号</v>
      </c>
      <c r="G12" s="5" t="s">
        <v>15</v>
      </c>
      <c r="H12" s="5" t="s">
        <v>7</v>
      </c>
    </row>
    <row r="13" ht="24.95" customHeight="1" spans="1:8">
      <c r="A13" s="7" t="str">
        <f>"219120191014182712165891"</f>
        <v>219120191014182712165891</v>
      </c>
      <c r="B13" s="5">
        <v>10</v>
      </c>
      <c r="C13" s="5" t="str">
        <f>"曾坤"</f>
        <v>曾坤</v>
      </c>
      <c r="D13" s="5" t="str">
        <f>"500223199101196669"</f>
        <v>500223199101196669</v>
      </c>
      <c r="E13" s="5" t="str">
        <f>"海南省三亚市"</f>
        <v>海南省三亚市</v>
      </c>
      <c r="F13" s="5" t="str">
        <f>"海南省三亚市海螺馨苑3期"</f>
        <v>海南省三亚市海螺馨苑3期</v>
      </c>
      <c r="G13" s="5" t="s">
        <v>16</v>
      </c>
      <c r="H13" s="5" t="s">
        <v>7</v>
      </c>
    </row>
    <row r="14" ht="24.95" customHeight="1" spans="1:8">
      <c r="A14" s="7" t="str">
        <f>"219120191014182715165892"</f>
        <v>219120191014182715165892</v>
      </c>
      <c r="B14" s="5">
        <v>11</v>
      </c>
      <c r="C14" s="5" t="str">
        <f>"周璇"</f>
        <v>周璇</v>
      </c>
      <c r="D14" s="5" t="str">
        <f>"330721199312226023"</f>
        <v>330721199312226023</v>
      </c>
      <c r="E14" s="5" t="str">
        <f>"浙江省金华市婺城区"</f>
        <v>浙江省金华市婺城区</v>
      </c>
      <c r="F14" s="5" t="str">
        <f>"海南省三亚市吉阳区荔枝沟"</f>
        <v>海南省三亚市吉阳区荔枝沟</v>
      </c>
      <c r="G14" s="5" t="s">
        <v>17</v>
      </c>
      <c r="H14" s="5" t="s">
        <v>7</v>
      </c>
    </row>
    <row r="15" ht="24.95" customHeight="1" spans="1:8">
      <c r="A15" s="7" t="str">
        <f>"219120191014185650165912"</f>
        <v>219120191014185650165912</v>
      </c>
      <c r="B15" s="5">
        <v>12</v>
      </c>
      <c r="C15" s="5" t="str">
        <f>"陈小慧"</f>
        <v>陈小慧</v>
      </c>
      <c r="D15" s="5" t="str">
        <f>"460004199606204449"</f>
        <v>460004199606204449</v>
      </c>
      <c r="E15" s="5" t="str">
        <f>"海口市秀英区"</f>
        <v>海口市秀英区</v>
      </c>
      <c r="F15" s="5" t="str">
        <f>"海南海口市龙华区日杂小区b栋601房"</f>
        <v>海南海口市龙华区日杂小区b栋601房</v>
      </c>
      <c r="G15" s="5" t="s">
        <v>18</v>
      </c>
      <c r="H15" s="5" t="s">
        <v>7</v>
      </c>
    </row>
    <row r="16" ht="24.95" customHeight="1" spans="1:8">
      <c r="A16" s="7" t="str">
        <f>"219120191014222450166075"</f>
        <v>219120191014222450166075</v>
      </c>
      <c r="B16" s="5">
        <v>13</v>
      </c>
      <c r="C16" s="5" t="str">
        <f>"刘青霞"</f>
        <v>刘青霞</v>
      </c>
      <c r="D16" s="5" t="str">
        <f>"460001199507140022"</f>
        <v>460001199507140022</v>
      </c>
      <c r="E16" s="5" t="str">
        <f>"海南省五指山市"</f>
        <v>海南省五指山市</v>
      </c>
      <c r="F16" s="5" t="str">
        <f>"海南省五指山市畅好农场十二队一单元"</f>
        <v>海南省五指山市畅好农场十二队一单元</v>
      </c>
      <c r="G16" s="5" t="s">
        <v>19</v>
      </c>
      <c r="H16" s="5" t="s">
        <v>7</v>
      </c>
    </row>
    <row r="17" ht="24.95" customHeight="1" spans="1:8">
      <c r="A17" s="7" t="str">
        <f>"219120191015103224166250"</f>
        <v>219120191015103224166250</v>
      </c>
      <c r="B17" s="5">
        <v>14</v>
      </c>
      <c r="C17" s="5" t="str">
        <f>"王僖莹"</f>
        <v>王僖莹</v>
      </c>
      <c r="D17" s="5" t="str">
        <f>"460001199610090721"</f>
        <v>460001199610090721</v>
      </c>
      <c r="E17" s="5" t="str">
        <f>"海南省五指山市"</f>
        <v>海南省五指山市</v>
      </c>
      <c r="F17" s="5" t="str">
        <f>"海南省五指山市通什镇解放路圣助大厦"</f>
        <v>海南省五指山市通什镇解放路圣助大厦</v>
      </c>
      <c r="G17" s="5" t="s">
        <v>20</v>
      </c>
      <c r="H17" s="5" t="s">
        <v>7</v>
      </c>
    </row>
    <row r="18" ht="24.95" customHeight="1" spans="1:8">
      <c r="A18" s="7" t="str">
        <f>"219120191015161726166538"</f>
        <v>219120191015161726166538</v>
      </c>
      <c r="B18" s="5">
        <v>15</v>
      </c>
      <c r="C18" s="5" t="str">
        <f>"云杏芳"</f>
        <v>云杏芳</v>
      </c>
      <c r="D18" s="5" t="str">
        <f>"460102199508131867"</f>
        <v>460102199508131867</v>
      </c>
      <c r="E18" s="5" t="str">
        <f>"海南省海口市美兰区"</f>
        <v>海南省海口市美兰区</v>
      </c>
      <c r="F18" s="5" t="str">
        <f>"海南省海口市美兰区大英路81号"</f>
        <v>海南省海口市美兰区大英路81号</v>
      </c>
      <c r="G18" s="5" t="s">
        <v>21</v>
      </c>
      <c r="H18" s="5" t="s">
        <v>7</v>
      </c>
    </row>
    <row r="19" ht="24.95" customHeight="1" spans="1:8">
      <c r="A19" s="7" t="str">
        <f>"219120191015171140166586"</f>
        <v>219120191015171140166586</v>
      </c>
      <c r="B19" s="5">
        <v>16</v>
      </c>
      <c r="C19" s="5" t="str">
        <f>"曾家琼"</f>
        <v>曾家琼</v>
      </c>
      <c r="D19" s="5" t="str">
        <f>"469003199409155029"</f>
        <v>469003199409155029</v>
      </c>
      <c r="E19" s="5" t="str">
        <f>"海南儋州"</f>
        <v>海南儋州</v>
      </c>
      <c r="F19" s="5" t="str">
        <f>"海南省儋州市那大镇站南小区"</f>
        <v>海南省儋州市那大镇站南小区</v>
      </c>
      <c r="G19" s="5" t="s">
        <v>22</v>
      </c>
      <c r="H19" s="5" t="s">
        <v>7</v>
      </c>
    </row>
    <row r="20" ht="24.95" customHeight="1" spans="1:8">
      <c r="A20" s="7" t="str">
        <f>"219120191015173527166608"</f>
        <v>219120191015173527166608</v>
      </c>
      <c r="B20" s="5">
        <v>17</v>
      </c>
      <c r="C20" s="5" t="str">
        <f>"林高茹"</f>
        <v>林高茹</v>
      </c>
      <c r="D20" s="5" t="str">
        <f>"469029199411113024"</f>
        <v>469029199411113024</v>
      </c>
      <c r="E20" s="5" t="str">
        <f>"海南省保亭县南林乡罗葵村委会庆帮村"</f>
        <v>海南省保亭县南林乡罗葵村委会庆帮村</v>
      </c>
      <c r="F20" s="5" t="str">
        <f>"海南省保亭县南林乡罗葵村委会庆帮村"</f>
        <v>海南省保亭县南林乡罗葵村委会庆帮村</v>
      </c>
      <c r="G20" s="5" t="s">
        <v>23</v>
      </c>
      <c r="H20" s="5" t="s">
        <v>7</v>
      </c>
    </row>
    <row r="21" ht="24.95" customHeight="1" spans="1:8">
      <c r="A21" s="7" t="str">
        <f>"219120191015175809166623"</f>
        <v>219120191015175809166623</v>
      </c>
      <c r="B21" s="5">
        <v>18</v>
      </c>
      <c r="C21" s="5" t="str">
        <f>"吴紫红"</f>
        <v>吴紫红</v>
      </c>
      <c r="D21" s="5" t="str">
        <f>"460007199704280428"</f>
        <v>460007199704280428</v>
      </c>
      <c r="E21" s="5" t="str">
        <f>"海南省东方市八所镇"</f>
        <v>海南省东方市八所镇</v>
      </c>
      <c r="F21" s="5" t="str">
        <f>"海南省东方市八所镇永安西路北七巷7-2号"</f>
        <v>海南省东方市八所镇永安西路北七巷7-2号</v>
      </c>
      <c r="G21" s="5" t="s">
        <v>24</v>
      </c>
      <c r="H21" s="5" t="s">
        <v>7</v>
      </c>
    </row>
    <row r="22" ht="24.95" customHeight="1" spans="1:8">
      <c r="A22" s="7" t="str">
        <f>"219120191015223020166758"</f>
        <v>219120191015223020166758</v>
      </c>
      <c r="B22" s="5">
        <v>19</v>
      </c>
      <c r="C22" s="5" t="str">
        <f>"胡艺伟"</f>
        <v>胡艺伟</v>
      </c>
      <c r="D22" s="5" t="str">
        <f>"610326199311160621"</f>
        <v>610326199311160621</v>
      </c>
      <c r="E22" s="5" t="str">
        <f>"陕西省宝鸡市眉县"</f>
        <v>陕西省宝鸡市眉县</v>
      </c>
      <c r="F22" s="5" t="str">
        <f>"海南省海口市琼山区海府路154号金鹿花园"</f>
        <v>海南省海口市琼山区海府路154号金鹿花园</v>
      </c>
      <c r="G22" s="5" t="s">
        <v>25</v>
      </c>
      <c r="H22" s="5" t="s">
        <v>7</v>
      </c>
    </row>
    <row r="23" ht="24.95" customHeight="1" spans="1:8">
      <c r="A23" s="7" t="str">
        <f>"219120191015223348166759"</f>
        <v>219120191015223348166759</v>
      </c>
      <c r="B23" s="5">
        <v>20</v>
      </c>
      <c r="C23" s="5" t="str">
        <f>"王少换"</f>
        <v>王少换</v>
      </c>
      <c r="D23" s="5" t="str">
        <f>"46003319920608454X"</f>
        <v>46003319920608454X</v>
      </c>
      <c r="E23" s="5" t="str">
        <f>"海南省乐东县利国镇"</f>
        <v>海南省乐东县利国镇</v>
      </c>
      <c r="F23" s="5" t="str">
        <f>"海南省乐东县利国镇"</f>
        <v>海南省乐东县利国镇</v>
      </c>
      <c r="G23" s="5" t="s">
        <v>26</v>
      </c>
      <c r="H23" s="5" t="s">
        <v>7</v>
      </c>
    </row>
    <row r="24" ht="24.95" customHeight="1" spans="1:8">
      <c r="A24" s="7" t="str">
        <f>"219120191015232115166777"</f>
        <v>219120191015232115166777</v>
      </c>
      <c r="B24" s="5">
        <v>21</v>
      </c>
      <c r="C24" s="5" t="str">
        <f>"杨丹"</f>
        <v>杨丹</v>
      </c>
      <c r="D24" s="5" t="str">
        <f>"46000519970924102X"</f>
        <v>46000519970924102X</v>
      </c>
      <c r="E24" s="5" t="str">
        <f>"海南省海口市龙华区"</f>
        <v>海南省海口市龙华区</v>
      </c>
      <c r="F24" s="5" t="str">
        <f>"海口市龙华区金盘创业新村"</f>
        <v>海口市龙华区金盘创业新村</v>
      </c>
      <c r="G24" s="5" t="s">
        <v>27</v>
      </c>
      <c r="H24" s="5" t="s">
        <v>7</v>
      </c>
    </row>
    <row r="25" ht="24.95" customHeight="1" spans="1:8">
      <c r="A25" s="7" t="str">
        <f>"219120191015235345166784"</f>
        <v>219120191015235345166784</v>
      </c>
      <c r="B25" s="5">
        <v>22</v>
      </c>
      <c r="C25" s="5" t="str">
        <f>"温慧雯"</f>
        <v>温慧雯</v>
      </c>
      <c r="D25" s="5" t="str">
        <f>"460003199304100226"</f>
        <v>460003199304100226</v>
      </c>
      <c r="E25" s="5" t="str">
        <f>"海南省儋州市那大镇"</f>
        <v>海南省儋州市那大镇</v>
      </c>
      <c r="F25" s="5" t="str">
        <f>"海南省儋州市那大镇文化中路七街一巷7号"</f>
        <v>海南省儋州市那大镇文化中路七街一巷7号</v>
      </c>
      <c r="G25" s="5" t="s">
        <v>28</v>
      </c>
      <c r="H25" s="5" t="s">
        <v>7</v>
      </c>
    </row>
    <row r="26" ht="24.95" customHeight="1" spans="1:8">
      <c r="A26" s="7" t="str">
        <f>"219120191016144938167023"</f>
        <v>219120191016144938167023</v>
      </c>
      <c r="B26" s="5">
        <v>23</v>
      </c>
      <c r="C26" s="5" t="str">
        <f>"赵志娜"</f>
        <v>赵志娜</v>
      </c>
      <c r="D26" s="5" t="str">
        <f>"460007199003057223"</f>
        <v>460007199003057223</v>
      </c>
      <c r="E26" s="5" t="str">
        <f>"海南省东方市三家镇"</f>
        <v>海南省东方市三家镇</v>
      </c>
      <c r="F26" s="5" t="str">
        <f>"海南省东方市三家镇"</f>
        <v>海南省东方市三家镇</v>
      </c>
      <c r="G26" s="5" t="s">
        <v>29</v>
      </c>
      <c r="H26" s="5" t="s">
        <v>7</v>
      </c>
    </row>
    <row r="27" ht="24.95" customHeight="1" spans="1:8">
      <c r="A27" s="7" t="str">
        <f>"219120191016175311167171"</f>
        <v>219120191016175311167171</v>
      </c>
      <c r="B27" s="5">
        <v>24</v>
      </c>
      <c r="C27" s="5" t="str">
        <f>"戴淑玲"</f>
        <v>戴淑玲</v>
      </c>
      <c r="D27" s="5" t="str">
        <f>"460001199704230748"</f>
        <v>460001199704230748</v>
      </c>
      <c r="E27" s="5" t="str">
        <f>"海南省五指山市"</f>
        <v>海南省五指山市</v>
      </c>
      <c r="F27" s="5" t="str">
        <f>"海南省五指山市海南热带海洋学院附属中学"</f>
        <v>海南省五指山市海南热带海洋学院附属中学</v>
      </c>
      <c r="G27" s="5" t="s">
        <v>30</v>
      </c>
      <c r="H27" s="5" t="s">
        <v>7</v>
      </c>
    </row>
    <row r="28" ht="24.95" customHeight="1" spans="1:8">
      <c r="A28" s="7" t="str">
        <f>"219120191016234052167334"</f>
        <v>219120191016234052167334</v>
      </c>
      <c r="B28" s="5">
        <v>25</v>
      </c>
      <c r="C28" s="5" t="str">
        <f>"邢邱莺"</f>
        <v>邢邱莺</v>
      </c>
      <c r="D28" s="5" t="str">
        <f>"46003319970417322X"</f>
        <v>46003319970417322X</v>
      </c>
      <c r="E28" s="5" t="str">
        <f>"海南省乐东黎族自治县黄流镇"</f>
        <v>海南省乐东黎族自治县黄流镇</v>
      </c>
      <c r="F28" s="5" t="str">
        <f>"海南省乐东黎族自治县黄流镇抱一村"</f>
        <v>海南省乐东黎族自治县黄流镇抱一村</v>
      </c>
      <c r="G28" s="5" t="s">
        <v>31</v>
      </c>
      <c r="H28" s="5" t="s">
        <v>7</v>
      </c>
    </row>
    <row r="29" ht="24.95" customHeight="1" spans="1:8">
      <c r="A29" s="7" t="str">
        <f>"219120191017122525167474"</f>
        <v>219120191017122525167474</v>
      </c>
      <c r="B29" s="5">
        <v>26</v>
      </c>
      <c r="C29" s="5" t="str">
        <f>"裴芳芳"</f>
        <v>裴芳芳</v>
      </c>
      <c r="D29" s="5" t="str">
        <f>"460007199809127243"</f>
        <v>460007199809127243</v>
      </c>
      <c r="E29" s="5" t="str">
        <f>"海南省东方市三家镇"</f>
        <v>海南省东方市三家镇</v>
      </c>
      <c r="F29" s="5" t="str">
        <f>"海南省东方市琼西路东三十八巷12号"</f>
        <v>海南省东方市琼西路东三十八巷12号</v>
      </c>
      <c r="G29" s="5" t="s">
        <v>32</v>
      </c>
      <c r="H29" s="5" t="s">
        <v>7</v>
      </c>
    </row>
    <row r="30" ht="24.95" customHeight="1" spans="1:8">
      <c r="A30" s="7" t="str">
        <f>"219120191017164724167581"</f>
        <v>219120191017164724167581</v>
      </c>
      <c r="B30" s="5">
        <v>27</v>
      </c>
      <c r="C30" s="5" t="str">
        <f>"李馨荷"</f>
        <v>李馨荷</v>
      </c>
      <c r="D30" s="5" t="str">
        <f>"460035199509181323"</f>
        <v>460035199509181323</v>
      </c>
      <c r="E30" s="5" t="str">
        <f>"海南保亭"</f>
        <v>海南保亭</v>
      </c>
      <c r="F30" s="5" t="str">
        <f>"海南省保亭县三道农场中心学校"</f>
        <v>海南省保亭县三道农场中心学校</v>
      </c>
      <c r="G30" s="5" t="s">
        <v>33</v>
      </c>
      <c r="H30" s="5" t="s">
        <v>7</v>
      </c>
    </row>
    <row r="31" ht="24.95" customHeight="1" spans="1:8">
      <c r="A31" s="7" t="str">
        <f>"219120191017185900167636"</f>
        <v>219120191017185900167636</v>
      </c>
      <c r="B31" s="5">
        <v>28</v>
      </c>
      <c r="C31" s="5" t="str">
        <f>"云菲菲"</f>
        <v>云菲菲</v>
      </c>
      <c r="D31" s="5" t="str">
        <f>"460005199510116029"</f>
        <v>460005199510116029</v>
      </c>
      <c r="E31" s="5" t="str">
        <f>"海南省文昌市"</f>
        <v>海南省文昌市</v>
      </c>
      <c r="F31" s="5" t="str">
        <f>"海南省五指山市奥雅一横路财政局宿舍2幢201"</f>
        <v>海南省五指山市奥雅一横路财政局宿舍2幢201</v>
      </c>
      <c r="G31" s="5" t="s">
        <v>34</v>
      </c>
      <c r="H31" s="5" t="s">
        <v>7</v>
      </c>
    </row>
    <row r="32" ht="24.95" customHeight="1" spans="1:8">
      <c r="A32" s="7" t="str">
        <f>"219120191017205224167684"</f>
        <v>219120191017205224167684</v>
      </c>
      <c r="B32" s="5">
        <v>29</v>
      </c>
      <c r="C32" s="5" t="str">
        <f>"邢燕"</f>
        <v>邢燕</v>
      </c>
      <c r="D32" s="5" t="str">
        <f>"460001199707180723"</f>
        <v>460001199707180723</v>
      </c>
      <c r="E32" s="5" t="str">
        <f>"海南省五指山市"</f>
        <v>海南省五指山市</v>
      </c>
      <c r="F32" s="5" t="str">
        <f>"五指山市三月三大道利民五金店"</f>
        <v>五指山市三月三大道利民五金店</v>
      </c>
      <c r="G32" s="5" t="s">
        <v>35</v>
      </c>
      <c r="H32" s="5" t="s">
        <v>7</v>
      </c>
    </row>
    <row r="33" ht="24.95" customHeight="1" spans="1:8">
      <c r="A33" s="7" t="str">
        <f>"219120191017215817167707"</f>
        <v>219120191017215817167707</v>
      </c>
      <c r="B33" s="5">
        <v>30</v>
      </c>
      <c r="C33" s="5" t="str">
        <f>"黎小雅"</f>
        <v>黎小雅</v>
      </c>
      <c r="D33" s="5" t="str">
        <f>"460034199712100027"</f>
        <v>460034199712100027</v>
      </c>
      <c r="E33" s="5" t="str">
        <f>"海南省陵水黎族自治县"</f>
        <v>海南省陵水黎族自治县</v>
      </c>
      <c r="F33" s="5" t="str">
        <f>"海南省陵水黎族自治县香榆北路15号"</f>
        <v>海南省陵水黎族自治县香榆北路15号</v>
      </c>
      <c r="G33" s="5" t="s">
        <v>36</v>
      </c>
      <c r="H33" s="5" t="s">
        <v>7</v>
      </c>
    </row>
    <row r="34" ht="24.95" customHeight="1" spans="1:8">
      <c r="A34" s="7" t="str">
        <f>"219120191017222200167718"</f>
        <v>219120191017222200167718</v>
      </c>
      <c r="B34" s="5">
        <v>31</v>
      </c>
      <c r="C34" s="5" t="str">
        <f>"周玲选"</f>
        <v>周玲选</v>
      </c>
      <c r="D34" s="5" t="str">
        <f>"460028199110105640"</f>
        <v>460028199110105640</v>
      </c>
      <c r="E34" s="5" t="str">
        <f>"海南省临高县临城镇调俗村委会乾彩村"</f>
        <v>海南省临高县临城镇调俗村委会乾彩村</v>
      </c>
      <c r="F34" s="5" t="str">
        <f>"海南省临高县临城镇调俗村委会乾彩村"</f>
        <v>海南省临高县临城镇调俗村委会乾彩村</v>
      </c>
      <c r="G34" s="5" t="s">
        <v>37</v>
      </c>
      <c r="H34" s="5" t="s">
        <v>7</v>
      </c>
    </row>
    <row r="35" ht="24.95" customHeight="1" spans="1:8">
      <c r="A35" s="7" t="str">
        <f>"219120191017223210167721"</f>
        <v>219120191017223210167721</v>
      </c>
      <c r="B35" s="5">
        <v>32</v>
      </c>
      <c r="C35" s="5" t="str">
        <f>"李元花"</f>
        <v>李元花</v>
      </c>
      <c r="D35" s="5" t="str">
        <f>"460003199702014024"</f>
        <v>460003199702014024</v>
      </c>
      <c r="E35" s="5" t="str">
        <f>"海南省儋州市"</f>
        <v>海南省儋州市</v>
      </c>
      <c r="F35" s="5" t="str">
        <f>"海南省儋州市那大镇大洲桥科技北路六街124号"</f>
        <v>海南省儋州市那大镇大洲桥科技北路六街124号</v>
      </c>
      <c r="G35" s="5" t="s">
        <v>38</v>
      </c>
      <c r="H35" s="5" t="s">
        <v>7</v>
      </c>
    </row>
    <row r="36" ht="24.95" customHeight="1" spans="1:8">
      <c r="A36" s="7" t="str">
        <f>"219120191017231333167733"</f>
        <v>219120191017231333167733</v>
      </c>
      <c r="B36" s="5">
        <v>33</v>
      </c>
      <c r="C36" s="5" t="str">
        <f>"吴蔚燕"</f>
        <v>吴蔚燕</v>
      </c>
      <c r="D36" s="5" t="str">
        <f>"460003199410124643"</f>
        <v>460003199410124643</v>
      </c>
      <c r="E36" s="5" t="str">
        <f>"海南省儋州市白马井镇禾能村"</f>
        <v>海南省儋州市白马井镇禾能村</v>
      </c>
      <c r="F36" s="5" t="str">
        <f>"海南省儋州市白马井镇禾能村大吴村一队"</f>
        <v>海南省儋州市白马井镇禾能村大吴村一队</v>
      </c>
      <c r="G36" s="5" t="s">
        <v>39</v>
      </c>
      <c r="H36" s="5" t="s">
        <v>7</v>
      </c>
    </row>
    <row r="37" ht="24.95" customHeight="1" spans="1:8">
      <c r="A37" s="7" t="str">
        <f>"219120191018105205167838"</f>
        <v>219120191018105205167838</v>
      </c>
      <c r="B37" s="5">
        <v>34</v>
      </c>
      <c r="C37" s="5" t="str">
        <f>"王雁"</f>
        <v>王雁</v>
      </c>
      <c r="D37" s="5" t="str">
        <f>"460026199611203924"</f>
        <v>460026199611203924</v>
      </c>
      <c r="E37" s="5" t="str">
        <f>"海南省海口市龙华区"</f>
        <v>海南省海口市龙华区</v>
      </c>
      <c r="F37" s="5" t="str">
        <f>"海南省海口市青年路千家村"</f>
        <v>海南省海口市青年路千家村</v>
      </c>
      <c r="G37" s="5" t="s">
        <v>40</v>
      </c>
      <c r="H37" s="5" t="s">
        <v>7</v>
      </c>
    </row>
    <row r="38" ht="24.95" customHeight="1" spans="1:8">
      <c r="A38" s="7" t="str">
        <f>"219120191018113617167870"</f>
        <v>219120191018113617167870</v>
      </c>
      <c r="B38" s="5">
        <v>35</v>
      </c>
      <c r="C38" s="5" t="str">
        <f>"陈初梅"</f>
        <v>陈初梅</v>
      </c>
      <c r="D38" s="5" t="str">
        <f>"46000319930114678X"</f>
        <v>46000319930114678X</v>
      </c>
      <c r="E38" s="5" t="str">
        <f>"儋州市海头派出所"</f>
        <v>儋州市海头派出所</v>
      </c>
      <c r="F38" s="5" t="str">
        <f>"那大镇文化南路九巷7号"</f>
        <v>那大镇文化南路九巷7号</v>
      </c>
      <c r="G38" s="5" t="s">
        <v>41</v>
      </c>
      <c r="H38" s="5" t="s">
        <v>7</v>
      </c>
    </row>
    <row r="39" ht="24.95" customHeight="1" spans="1:8">
      <c r="A39" s="7" t="str">
        <f>"219120191018120029167885"</f>
        <v>219120191018120029167885</v>
      </c>
      <c r="B39" s="5">
        <v>36</v>
      </c>
      <c r="C39" s="5" t="str">
        <f>"王石"</f>
        <v>王石</v>
      </c>
      <c r="D39" s="5" t="str">
        <f>"460025199408102718"</f>
        <v>460025199408102718</v>
      </c>
      <c r="E39" s="5" t="str">
        <f>"海南省定安县岭口镇"</f>
        <v>海南省定安县岭口镇</v>
      </c>
      <c r="F39" s="5" t="str">
        <f>"海南省定安县岭口镇岭腰村委会丹桂村"</f>
        <v>海南省定安县岭口镇岭腰村委会丹桂村</v>
      </c>
      <c r="G39" s="5" t="s">
        <v>42</v>
      </c>
      <c r="H39" s="5" t="s">
        <v>7</v>
      </c>
    </row>
    <row r="40" ht="24.95" customHeight="1" spans="1:8">
      <c r="A40" s="7" t="str">
        <f>"219120191019093423168117"</f>
        <v>219120191019093423168117</v>
      </c>
      <c r="B40" s="5">
        <v>37</v>
      </c>
      <c r="C40" s="5" t="str">
        <f>"刘秀萍"</f>
        <v>刘秀萍</v>
      </c>
      <c r="D40" s="5" t="str">
        <f>"460003199305137629"</f>
        <v>460003199305137629</v>
      </c>
      <c r="E40" s="5" t="str">
        <f>"海南省儋州市那大镇"</f>
        <v>海南省儋州市那大镇</v>
      </c>
      <c r="F40" s="5" t="str">
        <f>"海南省儋州市那大镇文化南路八街"</f>
        <v>海南省儋州市那大镇文化南路八街</v>
      </c>
      <c r="G40" s="5" t="s">
        <v>43</v>
      </c>
      <c r="H40" s="5" t="s">
        <v>7</v>
      </c>
    </row>
    <row r="41" ht="24.95" customHeight="1" spans="1:8">
      <c r="A41" s="7" t="str">
        <f>"219120191019111545168149"</f>
        <v>219120191019111545168149</v>
      </c>
      <c r="B41" s="5">
        <v>38</v>
      </c>
      <c r="C41" s="5" t="str">
        <f>"苏秋梅"</f>
        <v>苏秋梅</v>
      </c>
      <c r="D41" s="5" t="str">
        <f>"460007199511106220"</f>
        <v>460007199511106220</v>
      </c>
      <c r="E41" s="5" t="str">
        <f>"海南省东方市"</f>
        <v>海南省东方市</v>
      </c>
      <c r="F41" s="5" t="str">
        <f>"海南省东方市板桥镇"</f>
        <v>海南省东方市板桥镇</v>
      </c>
      <c r="G41" s="5" t="s">
        <v>44</v>
      </c>
      <c r="H41" s="5" t="s">
        <v>7</v>
      </c>
    </row>
    <row r="42" ht="24.95" customHeight="1" spans="1:8">
      <c r="A42" s="7" t="str">
        <f>"219120191019140530168188"</f>
        <v>219120191019140530168188</v>
      </c>
      <c r="B42" s="5">
        <v>39</v>
      </c>
      <c r="C42" s="5" t="str">
        <f>"纪诗诗"</f>
        <v>纪诗诗</v>
      </c>
      <c r="D42" s="5" t="str">
        <f>"460004199609130027"</f>
        <v>460004199609130027</v>
      </c>
      <c r="E42" s="5" t="str">
        <f>"海南省海口市琼山区"</f>
        <v>海南省海口市琼山区</v>
      </c>
      <c r="F42" s="5" t="str">
        <f>"海南省海口市海府路150号"</f>
        <v>海南省海口市海府路150号</v>
      </c>
      <c r="G42" s="5" t="s">
        <v>45</v>
      </c>
      <c r="H42" s="5" t="s">
        <v>7</v>
      </c>
    </row>
    <row r="43" ht="24.95" customHeight="1" spans="1:8">
      <c r="A43" s="7" t="str">
        <f>"219120191019172130168237"</f>
        <v>219120191019172130168237</v>
      </c>
      <c r="B43" s="5">
        <v>40</v>
      </c>
      <c r="C43" s="5" t="str">
        <f>"曾祥理"</f>
        <v>曾祥理</v>
      </c>
      <c r="D43" s="5" t="str">
        <f>"460034199411015830"</f>
        <v>460034199411015830</v>
      </c>
      <c r="E43" s="5" t="str">
        <f>"海南省陵水县岭门农场医院"</f>
        <v>海南省陵水县岭门农场医院</v>
      </c>
      <c r="F43" s="5" t="str">
        <f>"海南省陵水县岭门农场医院"</f>
        <v>海南省陵水县岭门农场医院</v>
      </c>
      <c r="G43" s="5" t="s">
        <v>46</v>
      </c>
      <c r="H43" s="5" t="s">
        <v>7</v>
      </c>
    </row>
    <row r="44" ht="24.95" customHeight="1" spans="1:8">
      <c r="A44" s="7" t="str">
        <f>"219120191019185607168259"</f>
        <v>219120191019185607168259</v>
      </c>
      <c r="B44" s="5">
        <v>41</v>
      </c>
      <c r="C44" s="5" t="str">
        <f>"杜林青"</f>
        <v>杜林青</v>
      </c>
      <c r="D44" s="5" t="str">
        <f>"460033199906283267"</f>
        <v>460033199906283267</v>
      </c>
      <c r="E44" s="5" t="str">
        <f>"海南省乐东县黄流镇"</f>
        <v>海南省乐东县黄流镇</v>
      </c>
      <c r="F44" s="5" t="str">
        <f>"海南省乐东县黄流镇"</f>
        <v>海南省乐东县黄流镇</v>
      </c>
      <c r="G44" s="5" t="s">
        <v>47</v>
      </c>
      <c r="H44" s="5" t="s">
        <v>7</v>
      </c>
    </row>
    <row r="45" ht="24.95" customHeight="1" spans="1:8">
      <c r="A45" s="7" t="str">
        <f>"219120191019194621168267"</f>
        <v>219120191019194621168267</v>
      </c>
      <c r="B45" s="5">
        <v>42</v>
      </c>
      <c r="C45" s="5" t="str">
        <f>"陈思颖"</f>
        <v>陈思颖</v>
      </c>
      <c r="D45" s="5" t="str">
        <f>"46003119891001082X"</f>
        <v>46003119891001082X</v>
      </c>
      <c r="E45" s="5" t="str">
        <f>"海南省海口市龙华区"</f>
        <v>海南省海口市龙华区</v>
      </c>
      <c r="F45" s="5" t="str">
        <f>"海南省海口市龙华区海秀中路海秀天成C1902"</f>
        <v>海南省海口市龙华区海秀中路海秀天成C1902</v>
      </c>
      <c r="G45" s="5" t="s">
        <v>48</v>
      </c>
      <c r="H45" s="5" t="s">
        <v>7</v>
      </c>
    </row>
    <row r="46" ht="24.95" customHeight="1" spans="1:8">
      <c r="A46" s="7" t="str">
        <f>"219120191019200523168273"</f>
        <v>219120191019200523168273</v>
      </c>
      <c r="B46" s="5">
        <v>43</v>
      </c>
      <c r="C46" s="5" t="str">
        <f>"吴金梅"</f>
        <v>吴金梅</v>
      </c>
      <c r="D46" s="5" t="str">
        <f>"460003199202082442"</f>
        <v>460003199202082442</v>
      </c>
      <c r="E46" s="5" t="str">
        <f>"海南省儋州市新州镇"</f>
        <v>海南省儋州市新州镇</v>
      </c>
      <c r="F46" s="5" t="str">
        <f>"海南省儋州市新州镇黄村村委会下黄村"</f>
        <v>海南省儋州市新州镇黄村村委会下黄村</v>
      </c>
      <c r="G46" s="5" t="s">
        <v>49</v>
      </c>
      <c r="H46" s="5" t="s">
        <v>7</v>
      </c>
    </row>
    <row r="47" ht="24.95" customHeight="1" spans="1:8">
      <c r="A47" s="7" t="str">
        <f>"219120191020085136168334"</f>
        <v>219120191020085136168334</v>
      </c>
      <c r="B47" s="5">
        <v>44</v>
      </c>
      <c r="C47" s="5" t="str">
        <f>"朱婉君"</f>
        <v>朱婉君</v>
      </c>
      <c r="D47" s="5" t="str">
        <f>"46000619960607232X"</f>
        <v>46000619960607232X</v>
      </c>
      <c r="E47" s="5" t="str">
        <f>"海南省万宁市后安镇"</f>
        <v>海南省万宁市后安镇</v>
      </c>
      <c r="F47" s="5" t="str">
        <f>"海南省万宁市后安镇"</f>
        <v>海南省万宁市后安镇</v>
      </c>
      <c r="G47" s="5" t="s">
        <v>50</v>
      </c>
      <c r="H47" s="5" t="s">
        <v>7</v>
      </c>
    </row>
    <row r="48" ht="24.95" customHeight="1" spans="1:8">
      <c r="A48" s="7" t="str">
        <f>"219120191020090131168337"</f>
        <v>219120191020090131168337</v>
      </c>
      <c r="B48" s="5">
        <v>45</v>
      </c>
      <c r="C48" s="5" t="str">
        <f>"陈积丹"</f>
        <v>陈积丹</v>
      </c>
      <c r="D48" s="5" t="str">
        <f>"46003319891129322X"</f>
        <v>46003319891129322X</v>
      </c>
      <c r="E48" s="5" t="str">
        <f>"海南省乐东黎族自治县黄流镇赤龙村"</f>
        <v>海南省乐东黎族自治县黄流镇赤龙村</v>
      </c>
      <c r="F48" s="5" t="str">
        <f>"海南省乐东黎族自治县黄流镇赤龙村"</f>
        <v>海南省乐东黎族自治县黄流镇赤龙村</v>
      </c>
      <c r="G48" s="5" t="s">
        <v>31</v>
      </c>
      <c r="H48" s="5" t="s">
        <v>7</v>
      </c>
    </row>
    <row r="49" ht="24.95" customHeight="1" spans="1:8">
      <c r="A49" s="7" t="str">
        <f>"219120191020101232168359"</f>
        <v>219120191020101232168359</v>
      </c>
      <c r="B49" s="5">
        <v>46</v>
      </c>
      <c r="C49" s="5" t="str">
        <f>"蔡玉娟"</f>
        <v>蔡玉娟</v>
      </c>
      <c r="D49" s="5" t="str">
        <f>"460003199304176626"</f>
        <v>460003199304176626</v>
      </c>
      <c r="E49" s="5" t="str">
        <f>"海南省儋州市海头边防派出所"</f>
        <v>海南省儋州市海头边防派出所</v>
      </c>
      <c r="F49" s="5" t="str">
        <f>"海南省儋州市"</f>
        <v>海南省儋州市</v>
      </c>
      <c r="G49" s="5" t="s">
        <v>51</v>
      </c>
      <c r="H49" s="5" t="s">
        <v>7</v>
      </c>
    </row>
    <row r="50" ht="24.95" customHeight="1" spans="1:8">
      <c r="A50" s="7" t="str">
        <f>"219120191020144955168443"</f>
        <v>219120191020144955168443</v>
      </c>
      <c r="B50" s="5">
        <v>47</v>
      </c>
      <c r="C50" s="5" t="str">
        <f>"王梅花"</f>
        <v>王梅花</v>
      </c>
      <c r="D50" s="5" t="str">
        <f>"460003199102164029"</f>
        <v>460003199102164029</v>
      </c>
      <c r="E50" s="5" t="str">
        <f>"海南省儋州市光村镇"</f>
        <v>海南省儋州市光村镇</v>
      </c>
      <c r="F50" s="5" t="str">
        <f>"海南省儋州市王五镇"</f>
        <v>海南省儋州市王五镇</v>
      </c>
      <c r="G50" s="5" t="s">
        <v>52</v>
      </c>
      <c r="H50" s="5" t="s">
        <v>7</v>
      </c>
    </row>
    <row r="51" ht="24.95" customHeight="1" spans="1:8">
      <c r="A51" s="7" t="str">
        <f>"219120191014091815165361"</f>
        <v>219120191014091815165361</v>
      </c>
      <c r="B51" s="5">
        <v>48</v>
      </c>
      <c r="C51" s="5" t="str">
        <f>"吴方敏"</f>
        <v>吴方敏</v>
      </c>
      <c r="D51" s="5" t="str">
        <f>"460033199402103226"</f>
        <v>460033199402103226</v>
      </c>
      <c r="E51" s="5" t="str">
        <f>"海南省乐东黎族自治县黄流镇"</f>
        <v>海南省乐东黎族自治县黄流镇</v>
      </c>
      <c r="F51" s="5" t="str">
        <f>"海南省乐东黎族自治县黄流镇铺村村委会十队25号"</f>
        <v>海南省乐东黎族自治县黄流镇铺村村委会十队25号</v>
      </c>
      <c r="G51" s="5" t="s">
        <v>53</v>
      </c>
      <c r="H51" s="5" t="s">
        <v>7</v>
      </c>
    </row>
    <row r="52" ht="24.95" customHeight="1" spans="1:8">
      <c r="A52" s="7" t="str">
        <f>"219120191014102433165467"</f>
        <v>219120191014102433165467</v>
      </c>
      <c r="B52" s="5">
        <v>49</v>
      </c>
      <c r="C52" s="5" t="str">
        <f>"蒲青秀"</f>
        <v>蒲青秀</v>
      </c>
      <c r="D52" s="5" t="str">
        <f>"460200199404172720"</f>
        <v>460200199404172720</v>
      </c>
      <c r="E52" s="5" t="str">
        <f>"海南省三亚市海棠区林旺派出所"</f>
        <v>海南省三亚市海棠区林旺派出所</v>
      </c>
      <c r="F52" s="5" t="str">
        <f>"海南省三亚市海棠区铁炉村委会高二村６号"</f>
        <v>海南省三亚市海棠区铁炉村委会高二村６号</v>
      </c>
      <c r="G52" s="5" t="s">
        <v>54</v>
      </c>
      <c r="H52" s="5" t="s">
        <v>7</v>
      </c>
    </row>
    <row r="53" ht="24.95" customHeight="1" spans="1:8">
      <c r="A53" s="7" t="str">
        <f>"219120191014102804165474"</f>
        <v>219120191014102804165474</v>
      </c>
      <c r="B53" s="5">
        <v>50</v>
      </c>
      <c r="C53" s="5" t="str">
        <f>"林有芬"</f>
        <v>林有芬</v>
      </c>
      <c r="D53" s="5" t="str">
        <f>"460003199606154449"</f>
        <v>460003199606154449</v>
      </c>
      <c r="E53" s="5" t="str">
        <f>"海南省儋州市白马井镇"</f>
        <v>海南省儋州市白马井镇</v>
      </c>
      <c r="F53" s="5" t="str">
        <f>"海南省儋州市白马井镇松鸣村"</f>
        <v>海南省儋州市白马井镇松鸣村</v>
      </c>
      <c r="G53" s="5" t="s">
        <v>55</v>
      </c>
      <c r="H53" s="5" t="s">
        <v>7</v>
      </c>
    </row>
    <row r="54" ht="24.95" customHeight="1" spans="1:8">
      <c r="A54" s="7" t="str">
        <f>"219120191014104753165502"</f>
        <v>219120191014104753165502</v>
      </c>
      <c r="B54" s="5">
        <v>51</v>
      </c>
      <c r="C54" s="5" t="str">
        <f>"关万莹"</f>
        <v>关万莹</v>
      </c>
      <c r="D54" s="5" t="str">
        <f>"460033199407064860"</f>
        <v>460033199407064860</v>
      </c>
      <c r="E54" s="5" t="str">
        <f>"海南省乐东黎族自治县九所边防派出所"</f>
        <v>海南省乐东黎族自治县九所边防派出所</v>
      </c>
      <c r="F54" s="5" t="str">
        <f>"海南省乐东黎族自治县九所镇"</f>
        <v>海南省乐东黎族自治县九所镇</v>
      </c>
      <c r="G54" s="5" t="s">
        <v>56</v>
      </c>
      <c r="H54" s="5" t="s">
        <v>7</v>
      </c>
    </row>
    <row r="55" ht="24.95" customHeight="1" spans="1:8">
      <c r="A55" s="7" t="str">
        <f>"219120191014124106165616"</f>
        <v>219120191014124106165616</v>
      </c>
      <c r="B55" s="5">
        <v>52</v>
      </c>
      <c r="C55" s="5" t="str">
        <f>"唐昊"</f>
        <v>唐昊</v>
      </c>
      <c r="D55" s="5" t="str">
        <f>"460007199705227610"</f>
        <v>460007199705227610</v>
      </c>
      <c r="E55" s="5" t="str">
        <f>"海南省东方市八所镇"</f>
        <v>海南省东方市八所镇</v>
      </c>
      <c r="F55" s="5" t="str">
        <f>"海南省东方市八所镇福久村"</f>
        <v>海南省东方市八所镇福久村</v>
      </c>
      <c r="G55" s="5" t="s">
        <v>57</v>
      </c>
      <c r="H55" s="5" t="s">
        <v>7</v>
      </c>
    </row>
    <row r="56" ht="24.95" customHeight="1" spans="1:8">
      <c r="A56" s="7" t="str">
        <f>"219120191014154858165757"</f>
        <v>219120191014154858165757</v>
      </c>
      <c r="B56" s="5">
        <v>53</v>
      </c>
      <c r="C56" s="5" t="str">
        <f>"王道政"</f>
        <v>王道政</v>
      </c>
      <c r="D56" s="5" t="str">
        <f>"460030199404045411"</f>
        <v>460030199404045411</v>
      </c>
      <c r="E56" s="5" t="str">
        <f>"海南省白沙黎族自治县国营龙江农场"</f>
        <v>海南省白沙黎族自治县国营龙江农场</v>
      </c>
      <c r="F56" s="5" t="str">
        <f>"海南省白沙黎族自治县国营龙江农场向阳路22号5幢103室"</f>
        <v>海南省白沙黎族自治县国营龙江农场向阳路22号5幢103室</v>
      </c>
      <c r="G56" s="5" t="s">
        <v>58</v>
      </c>
      <c r="H56" s="5" t="s">
        <v>7</v>
      </c>
    </row>
    <row r="57" ht="24.95" customHeight="1" spans="1:8">
      <c r="A57" s="7" t="str">
        <f>"219120191014161504165785"</f>
        <v>219120191014161504165785</v>
      </c>
      <c r="B57" s="5">
        <v>54</v>
      </c>
      <c r="C57" s="5" t="str">
        <f>"吴庭解"</f>
        <v>吴庭解</v>
      </c>
      <c r="D57" s="5" t="str">
        <f>"460007199210195768"</f>
        <v>460007199210195768</v>
      </c>
      <c r="E57" s="5" t="str">
        <f>"海南省东方市感城镇"</f>
        <v>海南省东方市感城镇</v>
      </c>
      <c r="F57" s="5" t="str">
        <f>"海南省东方市感城镇宝上村"</f>
        <v>海南省东方市感城镇宝上村</v>
      </c>
      <c r="G57" s="5" t="s">
        <v>59</v>
      </c>
      <c r="H57" s="5" t="s">
        <v>7</v>
      </c>
    </row>
    <row r="58" ht="24.95" customHeight="1" spans="1:8">
      <c r="A58" s="7" t="str">
        <f>"219120191015100840166229"</f>
        <v>219120191015100840166229</v>
      </c>
      <c r="B58" s="5">
        <v>55</v>
      </c>
      <c r="C58" s="5" t="str">
        <f>"郑慧暖"</f>
        <v>郑慧暖</v>
      </c>
      <c r="D58" s="5" t="str">
        <f>"460028199410173223"</f>
        <v>460028199410173223</v>
      </c>
      <c r="E58" s="5" t="str">
        <f>"海南省临高县加来镇"</f>
        <v>海南省临高县加来镇</v>
      </c>
      <c r="F58" s="5" t="str">
        <f>"海南省临高县加来镇知县村"</f>
        <v>海南省临高县加来镇知县村</v>
      </c>
      <c r="G58" s="5" t="s">
        <v>60</v>
      </c>
      <c r="H58" s="5" t="s">
        <v>7</v>
      </c>
    </row>
    <row r="59" ht="24.95" customHeight="1" spans="1:8">
      <c r="A59" s="7" t="str">
        <f>"219120191015105838166284"</f>
        <v>219120191015105838166284</v>
      </c>
      <c r="B59" s="5">
        <v>56</v>
      </c>
      <c r="C59" s="5" t="str">
        <f>"陈生娇"</f>
        <v>陈生娇</v>
      </c>
      <c r="D59" s="5" t="str">
        <f>"46003319910605508X"</f>
        <v>46003319910605508X</v>
      </c>
      <c r="E59" s="5" t="str">
        <f>"海南省乐东县利国镇"</f>
        <v>海南省乐东县利国镇</v>
      </c>
      <c r="F59" s="5" t="str">
        <f>"海南省乐东县利国镇乐罗村第十队"</f>
        <v>海南省乐东县利国镇乐罗村第十队</v>
      </c>
      <c r="G59" s="5" t="s">
        <v>61</v>
      </c>
      <c r="H59" s="5" t="s">
        <v>7</v>
      </c>
    </row>
    <row r="60" ht="24.95" customHeight="1" spans="1:8">
      <c r="A60" s="7" t="str">
        <f>"219120191015153556166487"</f>
        <v>219120191015153556166487</v>
      </c>
      <c r="B60" s="5">
        <v>57</v>
      </c>
      <c r="C60" s="5" t="str">
        <f>"孟丹丹"</f>
        <v>孟丹丹</v>
      </c>
      <c r="D60" s="5" t="str">
        <f>"460200199608231665"</f>
        <v>460200199608231665</v>
      </c>
      <c r="E60" s="5" t="str">
        <f>"海南省三亚市"</f>
        <v>海南省三亚市</v>
      </c>
      <c r="F60" s="5" t="str">
        <f>"海南省三亚市崖城镇"</f>
        <v>海南省三亚市崖城镇</v>
      </c>
      <c r="G60" s="5" t="s">
        <v>62</v>
      </c>
      <c r="H60" s="5" t="s">
        <v>7</v>
      </c>
    </row>
    <row r="61" ht="24.95" customHeight="1" spans="1:8">
      <c r="A61" s="7" t="str">
        <f>"219120191015195024166671"</f>
        <v>219120191015195024166671</v>
      </c>
      <c r="B61" s="5">
        <v>58</v>
      </c>
      <c r="C61" s="5" t="str">
        <f>"黎美愉"</f>
        <v>黎美愉</v>
      </c>
      <c r="D61" s="5" t="str">
        <f>"460003199810103024"</f>
        <v>460003199810103024</v>
      </c>
      <c r="E61" s="5" t="str">
        <f>"海南省儋州市"</f>
        <v>海南省儋州市</v>
      </c>
      <c r="F61" s="5" t="str">
        <f>"海南省儋州市那大镇文化中路六街15号"</f>
        <v>海南省儋州市那大镇文化中路六街15号</v>
      </c>
      <c r="G61" s="5" t="s">
        <v>63</v>
      </c>
      <c r="H61" s="5" t="s">
        <v>7</v>
      </c>
    </row>
    <row r="62" ht="24.95" customHeight="1" spans="1:8">
      <c r="A62" s="7" t="str">
        <f>"219120191016162723167108"</f>
        <v>219120191016162723167108</v>
      </c>
      <c r="B62" s="5">
        <v>59</v>
      </c>
      <c r="C62" s="5" t="str">
        <f>"杨宁"</f>
        <v>杨宁</v>
      </c>
      <c r="D62" s="5" t="str">
        <f>"460027199206134722"</f>
        <v>460027199206134722</v>
      </c>
      <c r="E62" s="5" t="str">
        <f>"海南省澄迈县老城镇"</f>
        <v>海南省澄迈县老城镇</v>
      </c>
      <c r="F62" s="5" t="str">
        <f>"海南省澄迈县老城镇澄江南路9号"</f>
        <v>海南省澄迈县老城镇澄江南路9号</v>
      </c>
      <c r="G62" s="5" t="s">
        <v>64</v>
      </c>
      <c r="H62" s="5" t="s">
        <v>7</v>
      </c>
    </row>
    <row r="63" ht="24.95" customHeight="1" spans="1:8">
      <c r="A63" s="7" t="str">
        <f>"219120191016225007167323"</f>
        <v>219120191016225007167323</v>
      </c>
      <c r="B63" s="5">
        <v>60</v>
      </c>
      <c r="C63" s="5" t="str">
        <f>"陈政民"</f>
        <v>陈政民</v>
      </c>
      <c r="D63" s="5" t="str">
        <f>"460003199310083215"</f>
        <v>460003199310083215</v>
      </c>
      <c r="E63" s="5" t="str">
        <f>"海南省儋州市峨蔓镇黄沙村委会马墩村"</f>
        <v>海南省儋州市峨蔓镇黄沙村委会马墩村</v>
      </c>
      <c r="F63" s="5" t="str">
        <f>"海南省儋州市那大镇东兴居委会八街53号"</f>
        <v>海南省儋州市那大镇东兴居委会八街53号</v>
      </c>
      <c r="G63" s="5" t="s">
        <v>65</v>
      </c>
      <c r="H63" s="5" t="s">
        <v>7</v>
      </c>
    </row>
    <row r="64" ht="24.95" customHeight="1" spans="1:8">
      <c r="A64" s="7" t="str">
        <f>"219120191017230834167731"</f>
        <v>219120191017230834167731</v>
      </c>
      <c r="B64" s="5">
        <v>61</v>
      </c>
      <c r="C64" s="5" t="str">
        <f>"林方婷"</f>
        <v>林方婷</v>
      </c>
      <c r="D64" s="5" t="str">
        <f>"460033199803053880"</f>
        <v>460033199803053880</v>
      </c>
      <c r="E64" s="5" t="str">
        <f>"海南省乐东县"</f>
        <v>海南省乐东县</v>
      </c>
      <c r="F64" s="5" t="str">
        <f>"海南省乐东县佛罗镇佛北村一队"</f>
        <v>海南省乐东县佛罗镇佛北村一队</v>
      </c>
      <c r="G64" s="5" t="s">
        <v>66</v>
      </c>
      <c r="H64" s="5" t="s">
        <v>7</v>
      </c>
    </row>
    <row r="65" ht="24.95" customHeight="1" spans="1:8">
      <c r="A65" s="7" t="str">
        <f>"219120191018112740167864"</f>
        <v>219120191018112740167864</v>
      </c>
      <c r="B65" s="5">
        <v>62</v>
      </c>
      <c r="C65" s="5" t="str">
        <f>"李道思"</f>
        <v>李道思</v>
      </c>
      <c r="D65" s="5" t="str">
        <f>"460200199710214466"</f>
        <v>460200199710214466</v>
      </c>
      <c r="E65" s="5" t="str">
        <f>"海南省三亚市崖州区"</f>
        <v>海南省三亚市崖州区</v>
      </c>
      <c r="F65" s="5" t="str">
        <f>"海南省三亚市崖州区临时市场"</f>
        <v>海南省三亚市崖州区临时市场</v>
      </c>
      <c r="G65" s="5" t="s">
        <v>67</v>
      </c>
      <c r="H65" s="5" t="s">
        <v>7</v>
      </c>
    </row>
    <row r="66" ht="24.95" customHeight="1" spans="1:8">
      <c r="A66" s="7" t="str">
        <f>"219120191018131402167904"</f>
        <v>219120191018131402167904</v>
      </c>
      <c r="B66" s="5">
        <v>63</v>
      </c>
      <c r="C66" s="5" t="str">
        <f>"孟柳青"</f>
        <v>孟柳青</v>
      </c>
      <c r="D66" s="5" t="str">
        <f>"460033199210134845"</f>
        <v>460033199210134845</v>
      </c>
      <c r="E66" s="5" t="str">
        <f>"海南省乐东县九所镇"</f>
        <v>海南省乐东县九所镇</v>
      </c>
      <c r="F66" s="5" t="str">
        <f>"海口市琼山东门第一小学"</f>
        <v>海口市琼山东门第一小学</v>
      </c>
      <c r="G66" s="5" t="s">
        <v>68</v>
      </c>
      <c r="H66" s="5" t="s">
        <v>7</v>
      </c>
    </row>
    <row r="67" ht="24.95" customHeight="1" spans="1:8">
      <c r="A67" s="7" t="str">
        <f>"219120191018170245167999"</f>
        <v>219120191018170245167999</v>
      </c>
      <c r="B67" s="5">
        <v>64</v>
      </c>
      <c r="C67" s="5" t="str">
        <f>"羊高联"</f>
        <v>羊高联</v>
      </c>
      <c r="D67" s="5" t="str">
        <f>"460003199605166640"</f>
        <v>460003199605166640</v>
      </c>
      <c r="E67" s="5" t="str">
        <f>"海南省儋州市海头镇"</f>
        <v>海南省儋州市海头镇</v>
      </c>
      <c r="F67" s="5" t="str">
        <f>"海南师范大学"</f>
        <v>海南师范大学</v>
      </c>
      <c r="G67" s="5" t="s">
        <v>69</v>
      </c>
      <c r="H67" s="5" t="s">
        <v>7</v>
      </c>
    </row>
    <row r="68" ht="24.95" customHeight="1" spans="1:8">
      <c r="A68" s="7" t="str">
        <f>"219120191018171928168007"</f>
        <v>219120191018171928168007</v>
      </c>
      <c r="B68" s="5">
        <v>65</v>
      </c>
      <c r="C68" s="5" t="str">
        <f>"王文莉"</f>
        <v>王文莉</v>
      </c>
      <c r="D68" s="5" t="str">
        <f>"140622199009282941"</f>
        <v>140622199009282941</v>
      </c>
      <c r="E68" s="5" t="str">
        <f>"山西省太原市"</f>
        <v>山西省太原市</v>
      </c>
      <c r="F68" s="5" t="str">
        <f>"海南省三亚市崖州区南滨农场万桂花园B区"</f>
        <v>海南省三亚市崖州区南滨农场万桂花园B区</v>
      </c>
      <c r="G68" s="5" t="s">
        <v>70</v>
      </c>
      <c r="H68" s="5" t="s">
        <v>7</v>
      </c>
    </row>
    <row r="69" ht="24.95" customHeight="1" spans="1:8">
      <c r="A69" s="7" t="str">
        <f>"219120191018174636168017"</f>
        <v>219120191018174636168017</v>
      </c>
      <c r="B69" s="5">
        <v>66</v>
      </c>
      <c r="C69" s="5" t="str">
        <f>"何诗音"</f>
        <v>何诗音</v>
      </c>
      <c r="D69" s="5" t="str">
        <f>"460003199509122226"</f>
        <v>460003199509122226</v>
      </c>
      <c r="E69" s="5" t="str">
        <f>"海南省儋州市"</f>
        <v>海南省儋州市</v>
      </c>
      <c r="F69" s="5" t="str">
        <f>"海南省儋州市那大镇万福东爵海路二巷"</f>
        <v>海南省儋州市那大镇万福东爵海路二巷</v>
      </c>
      <c r="G69" s="5" t="s">
        <v>71</v>
      </c>
      <c r="H69" s="5" t="s">
        <v>7</v>
      </c>
    </row>
    <row r="70" ht="24.95" customHeight="1" spans="1:8">
      <c r="A70" s="7" t="str">
        <f>"219120191019170135168233"</f>
        <v>219120191019170135168233</v>
      </c>
      <c r="B70" s="5">
        <v>67</v>
      </c>
      <c r="C70" s="5" t="str">
        <f>"王鹏"</f>
        <v>王鹏</v>
      </c>
      <c r="D70" s="5" t="str">
        <f>"460028199108156078"</f>
        <v>460028199108156078</v>
      </c>
      <c r="E70" s="5" t="str">
        <f>"海南省临高县波莲镇派出所"</f>
        <v>海南省临高县波莲镇派出所</v>
      </c>
      <c r="F70" s="5" t="str">
        <f>"海口市龙华区山高村"</f>
        <v>海口市龙华区山高村</v>
      </c>
      <c r="G70" s="5" t="s">
        <v>72</v>
      </c>
      <c r="H70" s="5" t="s">
        <v>7</v>
      </c>
    </row>
    <row r="71" ht="24.95" customHeight="1" spans="1:8">
      <c r="A71" s="7" t="str">
        <f>"219120191014115619165577"</f>
        <v>219120191014115619165577</v>
      </c>
      <c r="B71" s="5">
        <v>68</v>
      </c>
      <c r="C71" s="5" t="str">
        <f>"杨万星"</f>
        <v>杨万星</v>
      </c>
      <c r="D71" s="5" t="str">
        <f>"152321199301020667"</f>
        <v>152321199301020667</v>
      </c>
      <c r="E71" s="5" t="str">
        <f>"内蒙古通辽市科尔沁区"</f>
        <v>内蒙古通辽市科尔沁区</v>
      </c>
      <c r="F71" s="5" t="str">
        <f>"海南省三亚市崖州区水南小学"</f>
        <v>海南省三亚市崖州区水南小学</v>
      </c>
      <c r="G71" s="5" t="s">
        <v>73</v>
      </c>
      <c r="H71" s="5" t="s">
        <v>7</v>
      </c>
    </row>
    <row r="72" ht="24.95" customHeight="1" spans="1:8">
      <c r="A72" s="7" t="str">
        <f>"219120191014173526165860"</f>
        <v>219120191014173526165860</v>
      </c>
      <c r="B72" s="5">
        <v>69</v>
      </c>
      <c r="C72" s="5" t="str">
        <f>"高代纯"</f>
        <v>高代纯</v>
      </c>
      <c r="D72" s="5" t="str">
        <f>"46003319951019484X"</f>
        <v>46003319951019484X</v>
      </c>
      <c r="E72" s="5" t="str">
        <f>"乐东县九所边防派出所"</f>
        <v>乐东县九所边防派出所</v>
      </c>
      <c r="F72" s="5" t="str">
        <f>"海南省乐东县九所镇新庄村"</f>
        <v>海南省乐东县九所镇新庄村</v>
      </c>
      <c r="G72" s="5" t="s">
        <v>74</v>
      </c>
      <c r="H72" s="5" t="s">
        <v>7</v>
      </c>
    </row>
    <row r="73" ht="24.95" customHeight="1" spans="1:8">
      <c r="A73" s="7" t="str">
        <f>"219120191014225545166089"</f>
        <v>219120191014225545166089</v>
      </c>
      <c r="B73" s="5">
        <v>70</v>
      </c>
      <c r="C73" s="5" t="str">
        <f>"吴健婵"</f>
        <v>吴健婵</v>
      </c>
      <c r="D73" s="5" t="str">
        <f>"46000319950601262X"</f>
        <v>46000319950601262X</v>
      </c>
      <c r="E73" s="5" t="str">
        <f>"海南省儋州市"</f>
        <v>海南省儋州市</v>
      </c>
      <c r="F73" s="5" t="str">
        <f>"海南省儋州市新州镇新街"</f>
        <v>海南省儋州市新州镇新街</v>
      </c>
      <c r="G73" s="5" t="s">
        <v>75</v>
      </c>
      <c r="H73" s="5" t="s">
        <v>7</v>
      </c>
    </row>
    <row r="74" ht="24.95" customHeight="1" spans="1:8">
      <c r="A74" s="7" t="str">
        <f>"219120191015112620166321"</f>
        <v>219120191015112620166321</v>
      </c>
      <c r="B74" s="5">
        <v>71</v>
      </c>
      <c r="C74" s="5" t="str">
        <f>"刘晓月"</f>
        <v>刘晓月</v>
      </c>
      <c r="D74" s="5" t="str">
        <f>"460003199603088220"</f>
        <v>460003199603088220</v>
      </c>
      <c r="E74" s="5" t="str">
        <f>"海南省儋州市那大镇"</f>
        <v>海南省儋州市那大镇</v>
      </c>
      <c r="F74" s="5" t="str">
        <f>"海南省儋州市那大镇侨植农场八队"</f>
        <v>海南省儋州市那大镇侨植农场八队</v>
      </c>
      <c r="G74" s="5" t="s">
        <v>76</v>
      </c>
      <c r="H74" s="5" t="s">
        <v>7</v>
      </c>
    </row>
    <row r="75" ht="24.95" customHeight="1" spans="1:8">
      <c r="A75" s="7" t="str">
        <f>"219120191015113415166327"</f>
        <v>219120191015113415166327</v>
      </c>
      <c r="B75" s="5">
        <v>72</v>
      </c>
      <c r="C75" s="5" t="str">
        <f>"陈玲燕"</f>
        <v>陈玲燕</v>
      </c>
      <c r="D75" s="5" t="str">
        <f>"460028199001137221"</f>
        <v>460028199001137221</v>
      </c>
      <c r="E75" s="5" t="str">
        <f>"海南省儋州市"</f>
        <v>海南省儋州市</v>
      </c>
      <c r="F75" s="5" t="str">
        <f>"海南省儋州市白马井镇兰城村委会"</f>
        <v>海南省儋州市白马井镇兰城村委会</v>
      </c>
      <c r="G75" s="5" t="s">
        <v>77</v>
      </c>
      <c r="H75" s="5" t="s">
        <v>7</v>
      </c>
    </row>
    <row r="76" ht="24.95" customHeight="1" spans="1:8">
      <c r="A76" s="7" t="str">
        <f>"219120191015173101166606"</f>
        <v>219120191015173101166606</v>
      </c>
      <c r="B76" s="5">
        <v>73</v>
      </c>
      <c r="C76" s="5" t="str">
        <f>"邢芳凝"</f>
        <v>邢芳凝</v>
      </c>
      <c r="D76" s="5" t="str">
        <f>"460005199410142529"</f>
        <v>460005199410142529</v>
      </c>
      <c r="E76" s="5" t="str">
        <f>"海南省文昌市文昌镇"</f>
        <v>海南省文昌市文昌镇</v>
      </c>
      <c r="F76" s="5" t="str">
        <f>"海南省文昌市文城镇教苑小区"</f>
        <v>海南省文昌市文城镇教苑小区</v>
      </c>
      <c r="G76" s="5" t="s">
        <v>78</v>
      </c>
      <c r="H76" s="5" t="s">
        <v>7</v>
      </c>
    </row>
    <row r="77" ht="24.95" customHeight="1" spans="1:8">
      <c r="A77" s="7" t="str">
        <f>"219120191015174359166614"</f>
        <v>219120191015174359166614</v>
      </c>
      <c r="B77" s="5">
        <v>74</v>
      </c>
      <c r="C77" s="5" t="str">
        <f>"李有梅"</f>
        <v>李有梅</v>
      </c>
      <c r="D77" s="5" t="str">
        <f>"460003200011082226"</f>
        <v>460003200011082226</v>
      </c>
      <c r="E77" s="5" t="str">
        <f>"海南省儋州市东成镇"</f>
        <v>海南省儋州市东成镇</v>
      </c>
      <c r="F77" s="5" t="str">
        <f>"海南省三亚市吉阳区干休所小区"</f>
        <v>海南省三亚市吉阳区干休所小区</v>
      </c>
      <c r="G77" s="5" t="s">
        <v>71</v>
      </c>
      <c r="H77" s="5" t="s">
        <v>7</v>
      </c>
    </row>
    <row r="78" ht="24.95" customHeight="1" spans="1:8">
      <c r="A78" s="7" t="str">
        <f>"219120191015200127166678"</f>
        <v>219120191015200127166678</v>
      </c>
      <c r="B78" s="5">
        <v>75</v>
      </c>
      <c r="C78" s="5" t="str">
        <f>"张薇"</f>
        <v>张薇</v>
      </c>
      <c r="D78" s="5" t="str">
        <f>"460030199104106921"</f>
        <v>460030199104106921</v>
      </c>
      <c r="E78" s="5" t="str">
        <f>"海口市龙华区国贸二横路10号金钟大厦16G房"</f>
        <v>海口市龙华区国贸二横路10号金钟大厦16G房</v>
      </c>
      <c r="F78" s="5" t="str">
        <f>"海南省白沙县荣邦乡芙蓉田居基建队"</f>
        <v>海南省白沙县荣邦乡芙蓉田居基建队</v>
      </c>
      <c r="G78" s="5" t="s">
        <v>79</v>
      </c>
      <c r="H78" s="5" t="s">
        <v>7</v>
      </c>
    </row>
    <row r="79" ht="24.95" customHeight="1" spans="1:8">
      <c r="A79" s="7" t="str">
        <f>"219120191016090433166829"</f>
        <v>219120191016090433166829</v>
      </c>
      <c r="B79" s="5">
        <v>76</v>
      </c>
      <c r="C79" s="5" t="str">
        <f>"王清丽"</f>
        <v>王清丽</v>
      </c>
      <c r="D79" s="5" t="str">
        <f>"469024199504270027"</f>
        <v>469024199504270027</v>
      </c>
      <c r="E79" s="5" t="str">
        <f>"海南省临高县临城镇"</f>
        <v>海南省临高县临城镇</v>
      </c>
      <c r="F79" s="5" t="str">
        <f>"海南省临高临城镇"</f>
        <v>海南省临高临城镇</v>
      </c>
      <c r="G79" s="5" t="s">
        <v>80</v>
      </c>
      <c r="H79" s="5" t="s">
        <v>7</v>
      </c>
    </row>
    <row r="80" ht="24.95" customHeight="1" spans="1:8">
      <c r="A80" s="7" t="str">
        <f>"219120191016180954167179"</f>
        <v>219120191016180954167179</v>
      </c>
      <c r="B80" s="5">
        <v>77</v>
      </c>
      <c r="C80" s="5" t="str">
        <f>"林声芳"</f>
        <v>林声芳</v>
      </c>
      <c r="D80" s="5" t="str">
        <f>"460004199109196425"</f>
        <v>460004199109196425</v>
      </c>
      <c r="E80" s="5" t="str">
        <f>"海南省海口市美兰区"</f>
        <v>海南省海口市美兰区</v>
      </c>
      <c r="F80" s="5" t="str">
        <f>"海南省海口市美兰区桂林洋农场苏排村035号"</f>
        <v>海南省海口市美兰区桂林洋农场苏排村035号</v>
      </c>
      <c r="G80" s="5" t="s">
        <v>81</v>
      </c>
      <c r="H80" s="5" t="s">
        <v>7</v>
      </c>
    </row>
    <row r="81" ht="24.95" customHeight="1" spans="1:8">
      <c r="A81" s="7" t="str">
        <f>"219120191016185307167199"</f>
        <v>219120191016185307167199</v>
      </c>
      <c r="B81" s="5">
        <v>78</v>
      </c>
      <c r="C81" s="5" t="str">
        <f>"麦树立"</f>
        <v>麦树立</v>
      </c>
      <c r="D81" s="5" t="str">
        <f>"460033199404144865"</f>
        <v>460033199404144865</v>
      </c>
      <c r="E81" s="5" t="str">
        <f>"海南省乐东县九所镇"</f>
        <v>海南省乐东县九所镇</v>
      </c>
      <c r="F81" s="5" t="str">
        <f>"海海南省乐东黎族自治县九所镇罗马村"</f>
        <v>海海南省乐东黎族自治县九所镇罗马村</v>
      </c>
      <c r="G81" s="5" t="s">
        <v>82</v>
      </c>
      <c r="H81" s="5" t="s">
        <v>7</v>
      </c>
    </row>
    <row r="82" ht="24.95" customHeight="1" spans="1:8">
      <c r="A82" s="7" t="str">
        <f>"219120191016195508167231"</f>
        <v>219120191016195508167231</v>
      </c>
      <c r="B82" s="5">
        <v>79</v>
      </c>
      <c r="C82" s="5" t="str">
        <f>"占薇薇"</f>
        <v>占薇薇</v>
      </c>
      <c r="D82" s="5" t="str">
        <f>"460006199703218722"</f>
        <v>460006199703218722</v>
      </c>
      <c r="E82" s="5" t="str">
        <f>"海南万宁"</f>
        <v>海南万宁</v>
      </c>
      <c r="F82" s="5" t="str">
        <f>"海南省万宁市万城镇春园村委会春园村"</f>
        <v>海南省万宁市万城镇春园村委会春园村</v>
      </c>
      <c r="G82" s="5" t="s">
        <v>83</v>
      </c>
      <c r="H82" s="5" t="s">
        <v>7</v>
      </c>
    </row>
    <row r="83" ht="24.95" customHeight="1" spans="1:8">
      <c r="A83" s="7" t="str">
        <f>"219120191017105938167424"</f>
        <v>219120191017105938167424</v>
      </c>
      <c r="B83" s="5">
        <v>80</v>
      </c>
      <c r="C83" s="5" t="str">
        <f>"林志琳"</f>
        <v>林志琳</v>
      </c>
      <c r="D83" s="5" t="str">
        <f>"460033199201085105"</f>
        <v>460033199201085105</v>
      </c>
      <c r="E83" s="5" t="str">
        <f>"海南省乐东县利国镇新联派出所"</f>
        <v>海南省乐东县利国镇新联派出所</v>
      </c>
      <c r="F83" s="5" t="str">
        <f>"海南省乐东县利国镇球港村"</f>
        <v>海南省乐东县利国镇球港村</v>
      </c>
      <c r="G83" s="5" t="s">
        <v>84</v>
      </c>
      <c r="H83" s="5" t="s">
        <v>7</v>
      </c>
    </row>
    <row r="84" ht="24.95" customHeight="1" spans="1:8">
      <c r="A84" s="7" t="str">
        <f>"219120191017112303167445"</f>
        <v>219120191017112303167445</v>
      </c>
      <c r="B84" s="5">
        <v>81</v>
      </c>
      <c r="C84" s="5" t="str">
        <f>"王玉霞"</f>
        <v>王玉霞</v>
      </c>
      <c r="D84" s="5" t="str">
        <f>"460003199301154624"</f>
        <v>460003199301154624</v>
      </c>
      <c r="E84" s="5" t="str">
        <f>"海南省儋州市"</f>
        <v>海南省儋州市</v>
      </c>
      <c r="F84" s="5" t="str">
        <f>"海南省儋州市那大镇大洲桥"</f>
        <v>海南省儋州市那大镇大洲桥</v>
      </c>
      <c r="G84" s="5" t="s">
        <v>85</v>
      </c>
      <c r="H84" s="5" t="s">
        <v>7</v>
      </c>
    </row>
    <row r="85" ht="24.95" customHeight="1" spans="1:8">
      <c r="A85" s="7" t="str">
        <f>"219120191017124050167478"</f>
        <v>219120191017124050167478</v>
      </c>
      <c r="B85" s="5">
        <v>82</v>
      </c>
      <c r="C85" s="5" t="str">
        <f>"杨珍"</f>
        <v>杨珍</v>
      </c>
      <c r="D85" s="5" t="str">
        <f>"460032199006226228"</f>
        <v>460032199006226228</v>
      </c>
      <c r="E85" s="5" t="str">
        <f>"海南省东方市板桥镇边防派出所"</f>
        <v>海南省东方市板桥镇边防派出所</v>
      </c>
      <c r="F85" s="5" t="str">
        <f>"海南省东方市板桥镇抱利村八队"</f>
        <v>海南省东方市板桥镇抱利村八队</v>
      </c>
      <c r="G85" s="5" t="s">
        <v>86</v>
      </c>
      <c r="H85" s="5" t="s">
        <v>7</v>
      </c>
    </row>
    <row r="86" ht="24.95" customHeight="1" spans="1:8">
      <c r="A86" s="7" t="str">
        <f>"219120191017132106167492"</f>
        <v>219120191017132106167492</v>
      </c>
      <c r="B86" s="5">
        <v>83</v>
      </c>
      <c r="C86" s="5" t="str">
        <f>"唐金余"</f>
        <v>唐金余</v>
      </c>
      <c r="D86" s="5" t="str">
        <f>"460033199512024801"</f>
        <v>460033199512024801</v>
      </c>
      <c r="E86" s="5" t="str">
        <f>"海南省乐东黎族自治县九所镇"</f>
        <v>海南省乐东黎族自治县九所镇</v>
      </c>
      <c r="F86" s="5" t="str">
        <f>"海南省乐东县九所镇"</f>
        <v>海南省乐东县九所镇</v>
      </c>
      <c r="G86" s="5" t="s">
        <v>87</v>
      </c>
      <c r="H86" s="5" t="s">
        <v>7</v>
      </c>
    </row>
    <row r="87" ht="24.95" customHeight="1" spans="1:8">
      <c r="A87" s="7" t="str">
        <f>"219120191017190519167637"</f>
        <v>219120191017190519167637</v>
      </c>
      <c r="B87" s="5">
        <v>84</v>
      </c>
      <c r="C87" s="5" t="str">
        <f>"陈日香"</f>
        <v>陈日香</v>
      </c>
      <c r="D87" s="5" t="str">
        <f>"460033199112285084"</f>
        <v>460033199112285084</v>
      </c>
      <c r="E87" s="5" t="str">
        <f>"海南省乐东县"</f>
        <v>海南省乐东县</v>
      </c>
      <c r="F87" s="5" t="str">
        <f>"海南省乐东县利国镇乐一村三队"</f>
        <v>海南省乐东县利国镇乐一村三队</v>
      </c>
      <c r="G87" s="5" t="s">
        <v>88</v>
      </c>
      <c r="H87" s="5" t="s">
        <v>7</v>
      </c>
    </row>
    <row r="88" ht="24.95" customHeight="1" spans="1:8">
      <c r="A88" s="7" t="str">
        <f>"219120191017192149167643"</f>
        <v>219120191017192149167643</v>
      </c>
      <c r="B88" s="5">
        <v>85</v>
      </c>
      <c r="C88" s="5" t="str">
        <f>"辛瑞清"</f>
        <v>辛瑞清</v>
      </c>
      <c r="D88" s="5" t="str">
        <f>"152631198501092723"</f>
        <v>152631198501092723</v>
      </c>
      <c r="E88" s="5" t="str">
        <f>"海南省海口市"</f>
        <v>海南省海口市</v>
      </c>
      <c r="F88" s="5" t="str">
        <f>"海南省儋州市那大和信花园十栋二单元"</f>
        <v>海南省儋州市那大和信花园十栋二单元</v>
      </c>
      <c r="G88" s="5" t="s">
        <v>89</v>
      </c>
      <c r="H88" s="5" t="s">
        <v>7</v>
      </c>
    </row>
    <row r="89" ht="24.95" customHeight="1" spans="1:8">
      <c r="A89" s="7" t="str">
        <f>"219120191017202400167665"</f>
        <v>219120191017202400167665</v>
      </c>
      <c r="B89" s="5">
        <v>86</v>
      </c>
      <c r="C89" s="5" t="str">
        <f>"陈梨秀"</f>
        <v>陈梨秀</v>
      </c>
      <c r="D89" s="5" t="str">
        <f>"460300199103110329"</f>
        <v>460300199103110329</v>
      </c>
      <c r="E89" s="5" t="str">
        <f>"海南省洋浦经济开发区"</f>
        <v>海南省洋浦经济开发区</v>
      </c>
      <c r="F89" s="5" t="str">
        <f>"海南省洋浦经济开发区新英湾区白沙居委会邓宅居民组9999号"</f>
        <v>海南省洋浦经济开发区新英湾区白沙居委会邓宅居民组9999号</v>
      </c>
      <c r="G89" s="5" t="s">
        <v>90</v>
      </c>
      <c r="H89" s="5" t="s">
        <v>7</v>
      </c>
    </row>
    <row r="90" ht="24.95" customHeight="1" spans="1:8">
      <c r="A90" s="7" t="str">
        <f>"219120191017215724167706"</f>
        <v>219120191017215724167706</v>
      </c>
      <c r="B90" s="5">
        <v>87</v>
      </c>
      <c r="C90" s="5" t="str">
        <f>"王婷"</f>
        <v>王婷</v>
      </c>
      <c r="D90" s="5" t="str">
        <f>"421181199008260063"</f>
        <v>421181199008260063</v>
      </c>
      <c r="E90" s="5" t="str">
        <f>"湖北黄冈"</f>
        <v>湖北黄冈</v>
      </c>
      <c r="F90" s="5" t="str">
        <f>"湖北省黄冈市气象路北"</f>
        <v>湖北省黄冈市气象路北</v>
      </c>
      <c r="G90" s="5" t="s">
        <v>91</v>
      </c>
      <c r="H90" s="5" t="s">
        <v>7</v>
      </c>
    </row>
    <row r="91" ht="24.95" customHeight="1" spans="1:8">
      <c r="A91" s="7" t="str">
        <f>"219120191018134639167914"</f>
        <v>219120191018134639167914</v>
      </c>
      <c r="B91" s="5">
        <v>88</v>
      </c>
      <c r="C91" s="5" t="str">
        <f>"谢丽研"</f>
        <v>谢丽研</v>
      </c>
      <c r="D91" s="5" t="str">
        <f>"460003199304054821"</f>
        <v>460003199304054821</v>
      </c>
      <c r="E91" s="5" t="str">
        <f>"海南省儋州市排浦镇"</f>
        <v>海南省儋州市排浦镇</v>
      </c>
      <c r="F91" s="5" t="str">
        <f>"海南省儋州市排浦镇"</f>
        <v>海南省儋州市排浦镇</v>
      </c>
      <c r="G91" s="5" t="s">
        <v>92</v>
      </c>
      <c r="H91" s="5" t="s">
        <v>7</v>
      </c>
    </row>
    <row r="92" ht="24.95" customHeight="1" spans="1:8">
      <c r="A92" s="7" t="str">
        <f>"219120191018161622167976"</f>
        <v>219120191018161622167976</v>
      </c>
      <c r="B92" s="5">
        <v>89</v>
      </c>
      <c r="C92" s="5" t="str">
        <f>"韦美竹"</f>
        <v>韦美竹</v>
      </c>
      <c r="D92" s="5" t="str">
        <f>"460002199006113823"</f>
        <v>460002199006113823</v>
      </c>
      <c r="E92" s="5" t="str">
        <f>"琼海市嘉积镇"</f>
        <v>琼海市嘉积镇</v>
      </c>
      <c r="F92" s="5" t="str">
        <f>"金海路东五横街2号"</f>
        <v>金海路东五横街2号</v>
      </c>
      <c r="G92" s="5" t="s">
        <v>93</v>
      </c>
      <c r="H92" s="5" t="s">
        <v>7</v>
      </c>
    </row>
    <row r="93" ht="24.95" customHeight="1" spans="1:8">
      <c r="A93" s="7" t="str">
        <f>"219120191018164414167990"</f>
        <v>219120191018164414167990</v>
      </c>
      <c r="B93" s="5">
        <v>90</v>
      </c>
      <c r="C93" s="5" t="str">
        <f>"洪莉玲"</f>
        <v>洪莉玲</v>
      </c>
      <c r="D93" s="5" t="str">
        <f>"460003199110072845"</f>
        <v>460003199110072845</v>
      </c>
      <c r="E93" s="5" t="str">
        <f>"海南省儋州市"</f>
        <v>海南省儋州市</v>
      </c>
      <c r="F93" s="5" t="str">
        <f>"海南省儋州市那大镇大洲桥科技北路八街45号"</f>
        <v>海南省儋州市那大镇大洲桥科技北路八街45号</v>
      </c>
      <c r="G93" s="5" t="s">
        <v>94</v>
      </c>
      <c r="H93" s="5" t="s">
        <v>7</v>
      </c>
    </row>
    <row r="94" ht="24.95" customHeight="1" spans="1:8">
      <c r="A94" s="7" t="str">
        <f>"219120191018171022168002"</f>
        <v>219120191018171022168002</v>
      </c>
      <c r="B94" s="5">
        <v>91</v>
      </c>
      <c r="C94" s="5" t="str">
        <f>"邱金秀"</f>
        <v>邱金秀</v>
      </c>
      <c r="D94" s="5" t="str">
        <f>"460003199303216825"</f>
        <v>460003199303216825</v>
      </c>
      <c r="E94" s="5" t="str">
        <f>"海南省儋州市南丰镇"</f>
        <v>海南省儋州市南丰镇</v>
      </c>
      <c r="F94" s="5" t="str">
        <f>"海南省儋州市南丰镇松门村委会那联村  "</f>
        <v>海南省儋州市南丰镇松门村委会那联村  </v>
      </c>
      <c r="G94" s="5" t="s">
        <v>95</v>
      </c>
      <c r="H94" s="5" t="s">
        <v>7</v>
      </c>
    </row>
    <row r="95" ht="24.95" customHeight="1" spans="1:8">
      <c r="A95" s="7" t="str">
        <f>"219120191018171222168003"</f>
        <v>219120191018171222168003</v>
      </c>
      <c r="B95" s="5">
        <v>92</v>
      </c>
      <c r="C95" s="5" t="str">
        <f>"何小燕"</f>
        <v>何小燕</v>
      </c>
      <c r="D95" s="5" t="str">
        <f>"460002198912196224"</f>
        <v>460002198912196224</v>
      </c>
      <c r="E95" s="5" t="str">
        <f>"海南省海口市美兰区"</f>
        <v>海南省海口市美兰区</v>
      </c>
      <c r="F95" s="5" t="str">
        <f>"海口市美兰区白龙北路53号白龙苑E栋1单元702"</f>
        <v>海口市美兰区白龙北路53号白龙苑E栋1单元702</v>
      </c>
      <c r="G95" s="5" t="s">
        <v>96</v>
      </c>
      <c r="H95" s="5" t="s">
        <v>7</v>
      </c>
    </row>
    <row r="96" ht="24.95" customHeight="1" spans="1:8">
      <c r="A96" s="7" t="str">
        <f>"219120191018200638168050"</f>
        <v>219120191018200638168050</v>
      </c>
      <c r="B96" s="5">
        <v>93</v>
      </c>
      <c r="C96" s="5" t="str">
        <f>"何锦凤"</f>
        <v>何锦凤</v>
      </c>
      <c r="D96" s="5" t="str">
        <f>"460003199510180220"</f>
        <v>460003199510180220</v>
      </c>
      <c r="E96" s="5" t="str">
        <f>"海南省儋州市那大镇"</f>
        <v>海南省儋州市那大镇</v>
      </c>
      <c r="F96" s="5" t="str">
        <f>"海南省儋州市那大镇先锋路93号"</f>
        <v>海南省儋州市那大镇先锋路93号</v>
      </c>
      <c r="G96" s="5" t="s">
        <v>97</v>
      </c>
      <c r="H96" s="5" t="s">
        <v>7</v>
      </c>
    </row>
    <row r="97" ht="24.95" customHeight="1" spans="1:8">
      <c r="A97" s="7" t="str">
        <f>"219120191019235607168314"</f>
        <v>219120191019235607168314</v>
      </c>
      <c r="B97" s="5">
        <v>94</v>
      </c>
      <c r="C97" s="5" t="str">
        <f>"陈君"</f>
        <v>陈君</v>
      </c>
      <c r="D97" s="5" t="str">
        <f>"46000419940907522X"</f>
        <v>46000419940907522X</v>
      </c>
      <c r="E97" s="5" t="str">
        <f>"海南省海口市秀英区"</f>
        <v>海南省海口市秀英区</v>
      </c>
      <c r="F97" s="5" t="str">
        <f>"海南省海口市美兰区青年路美舍上村256号"</f>
        <v>海南省海口市美兰区青年路美舍上村256号</v>
      </c>
      <c r="G97" s="5" t="s">
        <v>98</v>
      </c>
      <c r="H97" s="5" t="s">
        <v>7</v>
      </c>
    </row>
    <row r="98" ht="24.95" customHeight="1" spans="1:8">
      <c r="A98" s="7" t="str">
        <f>"219120191020092256168345"</f>
        <v>219120191020092256168345</v>
      </c>
      <c r="B98" s="5">
        <v>95</v>
      </c>
      <c r="C98" s="5" t="str">
        <f>"郑慧琴"</f>
        <v>郑慧琴</v>
      </c>
      <c r="D98" s="5" t="str">
        <f>"460028199210140881"</f>
        <v>460028199210140881</v>
      </c>
      <c r="E98" s="5" t="str">
        <f>"海南省临高县新盈镇"</f>
        <v>海南省临高县新盈镇</v>
      </c>
      <c r="F98" s="5" t="str">
        <f>"海南省临高县新盈镇昆社村委会昆社村第三队"</f>
        <v>海南省临高县新盈镇昆社村委会昆社村第三队</v>
      </c>
      <c r="G98" s="5" t="s">
        <v>99</v>
      </c>
      <c r="H98" s="5" t="s">
        <v>7</v>
      </c>
    </row>
    <row r="99" ht="24.95" customHeight="1" spans="1:8">
      <c r="A99" s="7" t="str">
        <f>"219120191020100819168358"</f>
        <v>219120191020100819168358</v>
      </c>
      <c r="B99" s="5">
        <v>96</v>
      </c>
      <c r="C99" s="5" t="str">
        <f>"谢丽雯"</f>
        <v>谢丽雯</v>
      </c>
      <c r="D99" s="5" t="str">
        <f>"460030199104085120"</f>
        <v>460030199104085120</v>
      </c>
      <c r="E99" s="5" t="str">
        <f>"海南省白沙黎族自治县打安镇"</f>
        <v>海南省白沙黎族自治县打安镇</v>
      </c>
      <c r="F99" s="5" t="str">
        <f>"海南省儋州市那大镇红旗街63号"</f>
        <v>海南省儋州市那大镇红旗街63号</v>
      </c>
      <c r="G99" s="5" t="s">
        <v>100</v>
      </c>
      <c r="H99" s="5" t="s">
        <v>7</v>
      </c>
    </row>
    <row r="100" ht="24.95" customHeight="1" spans="1:8">
      <c r="A100" s="7" t="str">
        <f>"219120191020120247168393"</f>
        <v>219120191020120247168393</v>
      </c>
      <c r="B100" s="5">
        <v>97</v>
      </c>
      <c r="C100" s="5" t="str">
        <f>"符谷丹"</f>
        <v>符谷丹</v>
      </c>
      <c r="D100" s="5" t="str">
        <f>"460004199303192022"</f>
        <v>460004199303192022</v>
      </c>
      <c r="E100" s="5" t="str">
        <f>"海南省海口市琼山区"</f>
        <v>海南省海口市琼山区</v>
      </c>
      <c r="F100" s="5" t="str">
        <f>"海南省海口市琼山区甲子镇"</f>
        <v>海南省海口市琼山区甲子镇</v>
      </c>
      <c r="G100" s="5" t="s">
        <v>101</v>
      </c>
      <c r="H100" s="5" t="s">
        <v>7</v>
      </c>
    </row>
    <row r="101" ht="24.95" customHeight="1" spans="1:8">
      <c r="A101" s="7" t="str">
        <f>"219120191020125608168407"</f>
        <v>219120191020125608168407</v>
      </c>
      <c r="B101" s="5">
        <v>98</v>
      </c>
      <c r="C101" s="5" t="str">
        <f>"邓丽敏"</f>
        <v>邓丽敏</v>
      </c>
      <c r="D101" s="5" t="str">
        <f>"460031199305211222"</f>
        <v>460031199305211222</v>
      </c>
      <c r="E101" s="5" t="str">
        <f>"海南省昌江黎族自治县石碌镇"</f>
        <v>海南省昌江黎族自治县石碌镇</v>
      </c>
      <c r="F101" s="5" t="str">
        <f>"海南省儋州市万福路东八街21号"</f>
        <v>海南省儋州市万福路东八街21号</v>
      </c>
      <c r="G101" s="5" t="s">
        <v>102</v>
      </c>
      <c r="H101" s="5" t="s">
        <v>7</v>
      </c>
    </row>
    <row r="102" ht="24.95" customHeight="1" spans="1:8">
      <c r="A102" s="7" t="str">
        <f>"219120191020134107168421"</f>
        <v>219120191020134107168421</v>
      </c>
      <c r="B102" s="5">
        <v>99</v>
      </c>
      <c r="C102" s="5" t="str">
        <f>"周小文"</f>
        <v>周小文</v>
      </c>
      <c r="D102" s="5" t="str">
        <f>"460025199004180023"</f>
        <v>460025199004180023</v>
      </c>
      <c r="E102" s="5" t="str">
        <f>"海南省定安县定城"</f>
        <v>海南省定安县定城</v>
      </c>
      <c r="F102" s="5" t="str">
        <f>"海南省定安县定城镇东门街北巷7号"</f>
        <v>海南省定安县定城镇东门街北巷7号</v>
      </c>
      <c r="G102" s="5" t="s">
        <v>103</v>
      </c>
      <c r="H102" s="5" t="s">
        <v>7</v>
      </c>
    </row>
    <row r="103" ht="24.95" customHeight="1" spans="1:8">
      <c r="A103" s="7" t="str">
        <f>"219120191014104244165495"</f>
        <v>219120191014104244165495</v>
      </c>
      <c r="B103" s="5">
        <v>100</v>
      </c>
      <c r="C103" s="5" t="str">
        <f>"周颖花"</f>
        <v>周颖花</v>
      </c>
      <c r="D103" s="5" t="str">
        <f>"460300199508150628"</f>
        <v>460300199508150628</v>
      </c>
      <c r="E103" s="5" t="str">
        <f>"海南省洋浦经济开发区"</f>
        <v>海南省洋浦经济开发区</v>
      </c>
      <c r="F103" s="5" t="str">
        <f>"海南省洋浦经济开发区"</f>
        <v>海南省洋浦经济开发区</v>
      </c>
      <c r="G103" s="5" t="s">
        <v>104</v>
      </c>
      <c r="H103" s="5" t="s">
        <v>7</v>
      </c>
    </row>
    <row r="104" ht="24.95" customHeight="1" spans="1:8">
      <c r="A104" s="7" t="str">
        <f>"219120191014114212165562"</f>
        <v>219120191014114212165562</v>
      </c>
      <c r="B104" s="5">
        <v>101</v>
      </c>
      <c r="C104" s="5" t="str">
        <f>"文秀好"</f>
        <v>文秀好</v>
      </c>
      <c r="D104" s="5" t="str">
        <f>"460007199108274988"</f>
        <v>460007199108274988</v>
      </c>
      <c r="E104" s="5" t="str">
        <f>"海南省东方市四更镇"</f>
        <v>海南省东方市四更镇</v>
      </c>
      <c r="F104" s="5" t="str">
        <f>"海南省东方市民族中学"</f>
        <v>海南省东方市民族中学</v>
      </c>
      <c r="G104" s="5" t="s">
        <v>105</v>
      </c>
      <c r="H104" s="5" t="s">
        <v>7</v>
      </c>
    </row>
    <row r="105" ht="24.95" customHeight="1" spans="1:8">
      <c r="A105" s="7" t="str">
        <f>"219120191014114259165564"</f>
        <v>219120191014114259165564</v>
      </c>
      <c r="B105" s="5">
        <v>102</v>
      </c>
      <c r="C105" s="5" t="str">
        <f>"苏家露"</f>
        <v>苏家露</v>
      </c>
      <c r="D105" s="5" t="str">
        <f>"460032199404206249"</f>
        <v>460032199404206249</v>
      </c>
      <c r="E105" s="5" t="str">
        <f>"海南省东方市板桥镇"</f>
        <v>海南省东方市板桥镇</v>
      </c>
      <c r="F105" s="5" t="str">
        <f>"海南省东方市板桥镇"</f>
        <v>海南省东方市板桥镇</v>
      </c>
      <c r="G105" s="5" t="s">
        <v>106</v>
      </c>
      <c r="H105" s="5" t="s">
        <v>7</v>
      </c>
    </row>
    <row r="106" ht="24.95" customHeight="1" spans="1:8">
      <c r="A106" s="7" t="str">
        <f>"219120191014123340165603"</f>
        <v>219120191014123340165603</v>
      </c>
      <c r="B106" s="5">
        <v>103</v>
      </c>
      <c r="C106" s="5" t="str">
        <f>"林子皓"</f>
        <v>林子皓</v>
      </c>
      <c r="D106" s="5" t="str">
        <f>"460001199401070716"</f>
        <v>460001199401070716</v>
      </c>
      <c r="E106" s="5" t="str">
        <f>"海南省五指山市"</f>
        <v>海南省五指山市</v>
      </c>
      <c r="F106" s="5" t="str">
        <f>"海南省五指山市新华书店"</f>
        <v>海南省五指山市新华书店</v>
      </c>
      <c r="G106" s="5" t="s">
        <v>107</v>
      </c>
      <c r="H106" s="5" t="s">
        <v>7</v>
      </c>
    </row>
    <row r="107" ht="24.95" customHeight="1" spans="1:8">
      <c r="A107" s="7" t="str">
        <f>"219120191014131644165637"</f>
        <v>219120191014131644165637</v>
      </c>
      <c r="B107" s="5">
        <v>104</v>
      </c>
      <c r="C107" s="5" t="str">
        <f>"黄慧环"</f>
        <v>黄慧环</v>
      </c>
      <c r="D107" s="5" t="str">
        <f>"460035199501262524"</f>
        <v>460035199501262524</v>
      </c>
      <c r="E107" s="5" t="str">
        <f>"海南省保亭县加茂镇"</f>
        <v>海南省保亭县加茂镇</v>
      </c>
      <c r="F107" s="5" t="str">
        <f>"海南省保亭县加茂镇半弓大田村"</f>
        <v>海南省保亭县加茂镇半弓大田村</v>
      </c>
      <c r="G107" s="5" t="s">
        <v>108</v>
      </c>
      <c r="H107" s="5" t="s">
        <v>7</v>
      </c>
    </row>
    <row r="108" ht="24.95" customHeight="1" spans="1:8">
      <c r="A108" s="7" t="str">
        <f>"219120191014135414165656"</f>
        <v>219120191014135414165656</v>
      </c>
      <c r="B108" s="5">
        <v>105</v>
      </c>
      <c r="C108" s="5" t="str">
        <f>"毛丹妮"</f>
        <v>毛丹妮</v>
      </c>
      <c r="D108" s="5" t="str">
        <f>"460030199507041827"</f>
        <v>460030199507041827</v>
      </c>
      <c r="E108" s="5" t="str">
        <f>"海南省白沙县"</f>
        <v>海南省白沙县</v>
      </c>
      <c r="F108" s="5" t="str">
        <f>"海南省白沙县打安镇"</f>
        <v>海南省白沙县打安镇</v>
      </c>
      <c r="G108" s="5" t="s">
        <v>109</v>
      </c>
      <c r="H108" s="5" t="s">
        <v>7</v>
      </c>
    </row>
    <row r="109" ht="24.95" customHeight="1" spans="1:8">
      <c r="A109" s="7" t="str">
        <f>"219120191014172429165849"</f>
        <v>219120191014172429165849</v>
      </c>
      <c r="B109" s="5">
        <v>106</v>
      </c>
      <c r="C109" s="5" t="str">
        <f>"周志丹"</f>
        <v>周志丹</v>
      </c>
      <c r="D109" s="5" t="str">
        <f>"46900719950706496X"</f>
        <v>46900719950706496X</v>
      </c>
      <c r="E109" s="5" t="str">
        <f>"海南省东方市四更镇"</f>
        <v>海南省东方市四更镇</v>
      </c>
      <c r="F109" s="5" t="str">
        <f>"海南省三亚市吉阳区河东路82号海南中学三亚学校"</f>
        <v>海南省三亚市吉阳区河东路82号海南中学三亚学校</v>
      </c>
      <c r="G109" s="5" t="s">
        <v>110</v>
      </c>
      <c r="H109" s="5" t="s">
        <v>7</v>
      </c>
    </row>
    <row r="110" ht="24.95" customHeight="1" spans="1:8">
      <c r="A110" s="7" t="str">
        <f>"219120191014184241165898"</f>
        <v>219120191014184241165898</v>
      </c>
      <c r="B110" s="5">
        <v>107</v>
      </c>
      <c r="C110" s="5" t="str">
        <f>"黄元羚"</f>
        <v>黄元羚</v>
      </c>
      <c r="D110" s="5" t="str">
        <f>"460001199108130740"</f>
        <v>460001199108130740</v>
      </c>
      <c r="E110" s="5" t="str">
        <f>"海南五指山市"</f>
        <v>海南五指山市</v>
      </c>
      <c r="F110" s="5" t="str">
        <f>"海南海口龙华区城西镇海口碧桂园中央首府"</f>
        <v>海南海口龙华区城西镇海口碧桂园中央首府</v>
      </c>
      <c r="G110" s="5" t="s">
        <v>111</v>
      </c>
      <c r="H110" s="5" t="s">
        <v>7</v>
      </c>
    </row>
    <row r="111" ht="24.95" customHeight="1" spans="1:8">
      <c r="A111" s="7" t="str">
        <f>"219120191014192513165933"</f>
        <v>219120191014192513165933</v>
      </c>
      <c r="B111" s="5">
        <v>108</v>
      </c>
      <c r="C111" s="5" t="str">
        <f>"黄小钊"</f>
        <v>黄小钊</v>
      </c>
      <c r="D111" s="5" t="str">
        <f>"46000619950614164X"</f>
        <v>46000619950614164X</v>
      </c>
      <c r="E111" s="5" t="str">
        <f>"海南省万宁市和乐镇"</f>
        <v>海南省万宁市和乐镇</v>
      </c>
      <c r="F111" s="5" t="str">
        <f>"海南省万宁市和乐镇"</f>
        <v>海南省万宁市和乐镇</v>
      </c>
      <c r="G111" s="5" t="s">
        <v>112</v>
      </c>
      <c r="H111" s="5" t="s">
        <v>7</v>
      </c>
    </row>
    <row r="112" ht="24.95" customHeight="1" spans="1:8">
      <c r="A112" s="7" t="str">
        <f>"219120191014210038166005"</f>
        <v>219120191014210038166005</v>
      </c>
      <c r="B112" s="5">
        <v>109</v>
      </c>
      <c r="C112" s="5" t="str">
        <f>"汪小莹"</f>
        <v>汪小莹</v>
      </c>
      <c r="D112" s="5" t="str">
        <f>"460034199507140441"</f>
        <v>460034199507140441</v>
      </c>
      <c r="E112" s="5" t="str">
        <f>"海南省陵水县"</f>
        <v>海南省陵水县</v>
      </c>
      <c r="F112" s="5" t="str">
        <f>"海南省陵水县椰林在桃源村委会"</f>
        <v>海南省陵水县椰林在桃源村委会</v>
      </c>
      <c r="G112" s="5" t="s">
        <v>113</v>
      </c>
      <c r="H112" s="5" t="s">
        <v>7</v>
      </c>
    </row>
    <row r="113" ht="24.95" customHeight="1" spans="1:8">
      <c r="A113" s="7" t="str">
        <f>"219120191014211946166020"</f>
        <v>219120191014211946166020</v>
      </c>
      <c r="B113" s="5">
        <v>110</v>
      </c>
      <c r="C113" s="5" t="str">
        <f>"杨英营"</f>
        <v>杨英营</v>
      </c>
      <c r="D113" s="5" t="str">
        <f>"460026199410265141"</f>
        <v>460026199410265141</v>
      </c>
      <c r="E113" s="5" t="str">
        <f>"海南省屯昌县"</f>
        <v>海南省屯昌县</v>
      </c>
      <c r="F113" s="5" t="str">
        <f>"海南省屯昌县国营中坤农场三十一队30号"</f>
        <v>海南省屯昌县国营中坤农场三十一队30号</v>
      </c>
      <c r="G113" s="5" t="s">
        <v>114</v>
      </c>
      <c r="H113" s="5" t="s">
        <v>7</v>
      </c>
    </row>
    <row r="114" ht="24.95" customHeight="1" spans="1:8">
      <c r="A114" s="7" t="str">
        <f>"219120191014214043166040"</f>
        <v>219120191014214043166040</v>
      </c>
      <c r="B114" s="5">
        <v>111</v>
      </c>
      <c r="C114" s="5" t="str">
        <f>"曾尚优"</f>
        <v>曾尚优</v>
      </c>
      <c r="D114" s="5" t="str">
        <f>"460003199110043497"</f>
        <v>460003199110043497</v>
      </c>
      <c r="E114" s="5" t="str">
        <f>"海南省洋浦经济开发区三都镇"</f>
        <v>海南省洋浦经济开发区三都镇</v>
      </c>
      <c r="F114" s="5" t="str">
        <f>"海南省洋浦经济开发区三都镇漾月村委会良公村30号"</f>
        <v>海南省洋浦经济开发区三都镇漾月村委会良公村30号</v>
      </c>
      <c r="G114" s="5" t="s">
        <v>115</v>
      </c>
      <c r="H114" s="5" t="s">
        <v>7</v>
      </c>
    </row>
    <row r="115" ht="24.95" customHeight="1" spans="1:8">
      <c r="A115" s="7" t="str">
        <f>"219120191014224309166085"</f>
        <v>219120191014224309166085</v>
      </c>
      <c r="B115" s="5">
        <v>112</v>
      </c>
      <c r="C115" s="5" t="str">
        <f>"蔡江林"</f>
        <v>蔡江林</v>
      </c>
      <c r="D115" s="5" t="str">
        <f>"460032199701287620"</f>
        <v>460032199701287620</v>
      </c>
      <c r="E115" s="5" t="str">
        <f>"海南省东方市八所镇"</f>
        <v>海南省东方市八所镇</v>
      </c>
      <c r="F115" s="5" t="str">
        <f>"海南省东方市八所镇下红兴村三队"</f>
        <v>海南省东方市八所镇下红兴村三队</v>
      </c>
      <c r="G115" s="5" t="s">
        <v>116</v>
      </c>
      <c r="H115" s="5" t="s">
        <v>7</v>
      </c>
    </row>
    <row r="116" ht="24.95" customHeight="1" spans="1:8">
      <c r="A116" s="7" t="str">
        <f>"219120191014232425166098"</f>
        <v>219120191014232425166098</v>
      </c>
      <c r="B116" s="5">
        <v>113</v>
      </c>
      <c r="C116" s="5" t="str">
        <f>"张艳琛"</f>
        <v>张艳琛</v>
      </c>
      <c r="D116" s="5" t="str">
        <f>"460001199608060726"</f>
        <v>460001199608060726</v>
      </c>
      <c r="E116" s="5" t="str">
        <f>"海南省五指山市公安局河南派出所"</f>
        <v>海南省五指山市公安局河南派出所</v>
      </c>
      <c r="F116" s="5" t="str">
        <f>"海南省五指山市河南东区居委会奥雅路省第二人民医院宿舍"</f>
        <v>海南省五指山市河南东区居委会奥雅路省第二人民医院宿舍</v>
      </c>
      <c r="G116" s="5" t="s">
        <v>117</v>
      </c>
      <c r="H116" s="5" t="s">
        <v>7</v>
      </c>
    </row>
    <row r="117" ht="24.95" customHeight="1" spans="1:8">
      <c r="A117" s="7" t="str">
        <f>"219120191015094337166200"</f>
        <v>219120191015094337166200</v>
      </c>
      <c r="B117" s="5">
        <v>114</v>
      </c>
      <c r="C117" s="5" t="str">
        <f>"曾慧霏"</f>
        <v>曾慧霏</v>
      </c>
      <c r="D117" s="5" t="str">
        <f>"460200199601185125"</f>
        <v>460200199601185125</v>
      </c>
      <c r="E117" s="5" t="str">
        <f>"海南省三亚市"</f>
        <v>海南省三亚市</v>
      </c>
      <c r="F117" s="5" t="str">
        <f>"海南省三亚市儋州社区北四巷4号"</f>
        <v>海南省三亚市儋州社区北四巷4号</v>
      </c>
      <c r="G117" s="5" t="s">
        <v>118</v>
      </c>
      <c r="H117" s="5" t="s">
        <v>7</v>
      </c>
    </row>
    <row r="118" ht="24.95" customHeight="1" spans="1:8">
      <c r="A118" s="7" t="str">
        <f>"219120191015095031166206"</f>
        <v>219120191015095031166206</v>
      </c>
      <c r="B118" s="5">
        <v>115</v>
      </c>
      <c r="C118" s="5" t="str">
        <f>"曾承明"</f>
        <v>曾承明</v>
      </c>
      <c r="D118" s="5" t="str">
        <f>"460200199111184699"</f>
        <v>460200199111184699</v>
      </c>
      <c r="E118" s="5" t="str">
        <f>"海南省三亚市崖州区"</f>
        <v>海南省三亚市崖州区</v>
      </c>
      <c r="F118" s="5" t="str">
        <f>"海南省三亚市崖州区港门村"</f>
        <v>海南省三亚市崖州区港门村</v>
      </c>
      <c r="G118" s="5" t="s">
        <v>119</v>
      </c>
      <c r="H118" s="5" t="s">
        <v>7</v>
      </c>
    </row>
    <row r="119" ht="24.95" customHeight="1" spans="1:8">
      <c r="A119" s="7" t="str">
        <f>"219120191015104224166269"</f>
        <v>219120191015104224166269</v>
      </c>
      <c r="B119" s="5">
        <v>116</v>
      </c>
      <c r="C119" s="5" t="str">
        <f>"周麒"</f>
        <v>周麒</v>
      </c>
      <c r="D119" s="5" t="str">
        <f>"460200199201135137"</f>
        <v>460200199201135137</v>
      </c>
      <c r="E119" s="5" t="str">
        <f>"海南省三亚市新风派出所"</f>
        <v>海南省三亚市新风派出所</v>
      </c>
      <c r="F119" s="5" t="str">
        <f>"海南省澄迈县金江镇华兴路供电公司住宿区c栋604"</f>
        <v>海南省澄迈县金江镇华兴路供电公司住宿区c栋604</v>
      </c>
      <c r="G119" s="5" t="s">
        <v>120</v>
      </c>
      <c r="H119" s="5" t="s">
        <v>7</v>
      </c>
    </row>
    <row r="120" ht="24.95" customHeight="1" spans="1:8">
      <c r="A120" s="7" t="str">
        <f>"219120191015121830166356"</f>
        <v>219120191015121830166356</v>
      </c>
      <c r="B120" s="5">
        <v>117</v>
      </c>
      <c r="C120" s="5" t="str">
        <f>"周明崖"</f>
        <v>周明崖</v>
      </c>
      <c r="D120" s="5" t="str">
        <f>"460033199206234528"</f>
        <v>460033199206234528</v>
      </c>
      <c r="E120" s="5" t="str">
        <f>"海南省乐东县利国镇"</f>
        <v>海南省乐东县利国镇</v>
      </c>
      <c r="F120" s="5" t="str">
        <f>"海南省乐东县利国镇荷口村委会七队"</f>
        <v>海南省乐东县利国镇荷口村委会七队</v>
      </c>
      <c r="G120" s="5" t="s">
        <v>121</v>
      </c>
      <c r="H120" s="5" t="s">
        <v>7</v>
      </c>
    </row>
    <row r="121" ht="24.95" customHeight="1" spans="1:8">
      <c r="A121" s="7" t="str">
        <f>"219120191015152752166475"</f>
        <v>219120191015152752166475</v>
      </c>
      <c r="B121" s="5">
        <v>118</v>
      </c>
      <c r="C121" s="5" t="str">
        <f>"李冰"</f>
        <v>李冰</v>
      </c>
      <c r="D121" s="5" t="str">
        <f>"460027199404270629"</f>
        <v>460027199404270629</v>
      </c>
      <c r="E121" s="5" t="str">
        <f>"海南省澄迈县金江镇"</f>
        <v>海南省澄迈县金江镇</v>
      </c>
      <c r="F121" s="5" t="str">
        <f>"海南省澄迈县金江镇京岭村"</f>
        <v>海南省澄迈县金江镇京岭村</v>
      </c>
      <c r="G121" s="5" t="s">
        <v>122</v>
      </c>
      <c r="H121" s="5" t="s">
        <v>7</v>
      </c>
    </row>
    <row r="122" ht="24.95" customHeight="1" spans="1:8">
      <c r="A122" s="7" t="str">
        <f>"219120191015154404166500"</f>
        <v>219120191015154404166500</v>
      </c>
      <c r="B122" s="5">
        <v>119</v>
      </c>
      <c r="C122" s="5" t="str">
        <f>"邢维再"</f>
        <v>邢维再</v>
      </c>
      <c r="D122" s="5" t="str">
        <f>"460033199701034515"</f>
        <v>460033199701034515</v>
      </c>
      <c r="E122" s="5" t="str">
        <f>"海南省乐东县利国镇"</f>
        <v>海南省乐东县利国镇</v>
      </c>
      <c r="F122" s="5" t="str">
        <f>"海南省乐东县利国镇新联村"</f>
        <v>海南省乐东县利国镇新联村</v>
      </c>
      <c r="G122" s="5" t="s">
        <v>123</v>
      </c>
      <c r="H122" s="5" t="s">
        <v>7</v>
      </c>
    </row>
    <row r="123" ht="24.95" customHeight="1" spans="1:8">
      <c r="A123" s="7" t="str">
        <f>"219120191015165130166572"</f>
        <v>219120191015165130166572</v>
      </c>
      <c r="B123" s="5">
        <v>120</v>
      </c>
      <c r="C123" s="5" t="str">
        <f>"郑智虎"</f>
        <v>郑智虎</v>
      </c>
      <c r="D123" s="5" t="str">
        <f>"460007199304060039"</f>
        <v>460007199304060039</v>
      </c>
      <c r="E123" s="5" t="str">
        <f>"海南省东方市八所镇"</f>
        <v>海南省东方市八所镇</v>
      </c>
      <c r="F123" s="5" t="str">
        <f>"海南省东方市八所镇园林西路南八巷7号"</f>
        <v>海南省东方市八所镇园林西路南八巷7号</v>
      </c>
      <c r="G123" s="5" t="s">
        <v>124</v>
      </c>
      <c r="H123" s="5" t="s">
        <v>7</v>
      </c>
    </row>
    <row r="124" ht="24.95" customHeight="1" spans="1:8">
      <c r="A124" s="7" t="str">
        <f>"219120191015200335166679"</f>
        <v>219120191015200335166679</v>
      </c>
      <c r="B124" s="5">
        <v>121</v>
      </c>
      <c r="C124" s="5" t="str">
        <f>"蔡开止"</f>
        <v>蔡开止</v>
      </c>
      <c r="D124" s="5" t="str">
        <f>"460033199501094820"</f>
        <v>460033199501094820</v>
      </c>
      <c r="E124" s="5" t="str">
        <f>"海南省乐东县九所镇"</f>
        <v>海南省乐东县九所镇</v>
      </c>
      <c r="F124" s="5" t="str">
        <f>"海南省乐东县九所镇"</f>
        <v>海南省乐东县九所镇</v>
      </c>
      <c r="G124" s="5" t="s">
        <v>125</v>
      </c>
      <c r="H124" s="5" t="s">
        <v>7</v>
      </c>
    </row>
    <row r="125" ht="24.95" customHeight="1" spans="1:8">
      <c r="A125" s="7" t="str">
        <f>"219120191015205757166710"</f>
        <v>219120191015205757166710</v>
      </c>
      <c r="B125" s="5">
        <v>122</v>
      </c>
      <c r="C125" s="5" t="str">
        <f>"王明珠"</f>
        <v>王明珠</v>
      </c>
      <c r="D125" s="5" t="str">
        <f>"469027199509256880"</f>
        <v>469027199509256880</v>
      </c>
      <c r="E125" s="5" t="str">
        <f>"海南省乐东县万冲派出所"</f>
        <v>海南省乐东县万冲派出所</v>
      </c>
      <c r="F125" s="5" t="str">
        <f>"海南省乐东县万冲镇南班村委会六队"</f>
        <v>海南省乐东县万冲镇南班村委会六队</v>
      </c>
      <c r="G125" s="5" t="s">
        <v>126</v>
      </c>
      <c r="H125" s="5" t="s">
        <v>7</v>
      </c>
    </row>
    <row r="126" ht="24.95" customHeight="1" spans="1:8">
      <c r="A126" s="7" t="str">
        <f>"219120191015212235166725"</f>
        <v>219120191015212235166725</v>
      </c>
      <c r="B126" s="5">
        <v>123</v>
      </c>
      <c r="C126" s="5" t="str">
        <f>"候国羽"</f>
        <v>候国羽</v>
      </c>
      <c r="D126" s="5" t="str">
        <f>"460033199812224186"</f>
        <v>460033199812224186</v>
      </c>
      <c r="E126" s="5" t="str">
        <f>"海南省乐东县尖峰镇"</f>
        <v>海南省乐东县尖峰镇</v>
      </c>
      <c r="F126" s="5" t="str">
        <f>"海南省乐东黎族自治县尖峰镇长安村二队"</f>
        <v>海南省乐东黎族自治县尖峰镇长安村二队</v>
      </c>
      <c r="G126" s="5" t="s">
        <v>127</v>
      </c>
      <c r="H126" s="5" t="s">
        <v>7</v>
      </c>
    </row>
    <row r="127" ht="24.95" customHeight="1" spans="1:8">
      <c r="A127" s="7" t="str">
        <f>"219120191015215300166741"</f>
        <v>219120191015215300166741</v>
      </c>
      <c r="B127" s="5">
        <v>124</v>
      </c>
      <c r="C127" s="5" t="str">
        <f>"陈文叶"</f>
        <v>陈文叶</v>
      </c>
      <c r="D127" s="5" t="str">
        <f>"460004199412295266"</f>
        <v>460004199412295266</v>
      </c>
      <c r="E127" s="5" t="str">
        <f>"海南省海口市秀英区东山镇"</f>
        <v>海南省海口市秀英区东山镇</v>
      </c>
      <c r="F127" s="5" t="str">
        <f>"海口市府城镇东门三横里108-2"</f>
        <v>海口市府城镇东门三横里108-2</v>
      </c>
      <c r="G127" s="5" t="s">
        <v>128</v>
      </c>
      <c r="H127" s="5" t="s">
        <v>7</v>
      </c>
    </row>
    <row r="128" ht="24.95" customHeight="1" spans="1:8">
      <c r="A128" s="7" t="str">
        <f>"219120191015224233166762"</f>
        <v>219120191015224233166762</v>
      </c>
      <c r="B128" s="5">
        <v>125</v>
      </c>
      <c r="C128" s="5" t="str">
        <f>"陈耀"</f>
        <v>陈耀</v>
      </c>
      <c r="D128" s="5" t="str">
        <f>"460035199007011113"</f>
        <v>460035199007011113</v>
      </c>
      <c r="E128" s="5" t="str">
        <f>"海南省保亭县国营南茂农场五区春光队"</f>
        <v>海南省保亭县国营南茂农场五区春光队</v>
      </c>
      <c r="F128" s="5" t="str">
        <f>"海南省保亭县国营南茂农场五区春光队"</f>
        <v>海南省保亭县国营南茂农场五区春光队</v>
      </c>
      <c r="G128" s="5" t="s">
        <v>129</v>
      </c>
      <c r="H128" s="5" t="s">
        <v>7</v>
      </c>
    </row>
    <row r="129" ht="24.95" customHeight="1" spans="1:8">
      <c r="A129" s="7" t="str">
        <f>"219120191015234035166780"</f>
        <v>219120191015234035166780</v>
      </c>
      <c r="B129" s="5">
        <v>126</v>
      </c>
      <c r="C129" s="5" t="str">
        <f>"李智明"</f>
        <v>李智明</v>
      </c>
      <c r="D129" s="5" t="str">
        <f>"460003199505035811"</f>
        <v>460003199505035811</v>
      </c>
      <c r="E129" s="5" t="str">
        <f>"海南省儋州市"</f>
        <v>海南省儋州市</v>
      </c>
      <c r="F129" s="5" t="str">
        <f>"海南省儋州市国营八一总场"</f>
        <v>海南省儋州市国营八一总场</v>
      </c>
      <c r="G129" s="5" t="s">
        <v>130</v>
      </c>
      <c r="H129" s="5" t="s">
        <v>7</v>
      </c>
    </row>
    <row r="130" ht="24.95" customHeight="1" spans="1:8">
      <c r="A130" s="7" t="str">
        <f>"219120191016082442166804"</f>
        <v>219120191016082442166804</v>
      </c>
      <c r="B130" s="5">
        <v>127</v>
      </c>
      <c r="C130" s="5" t="str">
        <f>"文陈华"</f>
        <v>文陈华</v>
      </c>
      <c r="D130" s="5" t="str">
        <f>"460006199607102340"</f>
        <v>460006199607102340</v>
      </c>
      <c r="E130" s="5" t="str">
        <f>"海南省万宁市后安镇"</f>
        <v>海南省万宁市后安镇</v>
      </c>
      <c r="F130" s="5" t="str">
        <f>"海南省万宁市后安镇曲冲村"</f>
        <v>海南省万宁市后安镇曲冲村</v>
      </c>
      <c r="G130" s="5" t="s">
        <v>131</v>
      </c>
      <c r="H130" s="5" t="s">
        <v>7</v>
      </c>
    </row>
    <row r="131" ht="24.95" customHeight="1" spans="1:8">
      <c r="A131" s="7" t="str">
        <f>"219120191016092853166847"</f>
        <v>219120191016092853166847</v>
      </c>
      <c r="B131" s="5">
        <v>128</v>
      </c>
      <c r="C131" s="5" t="str">
        <f>"符苏克"</f>
        <v>符苏克</v>
      </c>
      <c r="D131" s="5" t="str">
        <f>"460031199012045291"</f>
        <v>460031199012045291</v>
      </c>
      <c r="E131" s="5" t="str">
        <f>"海南省昌江县乌烈镇派出所"</f>
        <v>海南省昌江县乌烈镇派出所</v>
      </c>
      <c r="F131" s="5" t="str">
        <f>"海南省昌江县爱群路8号楼"</f>
        <v>海南省昌江县爱群路8号楼</v>
      </c>
      <c r="G131" s="5" t="s">
        <v>132</v>
      </c>
      <c r="H131" s="5" t="s">
        <v>7</v>
      </c>
    </row>
    <row r="132" ht="24.95" customHeight="1" spans="1:8">
      <c r="A132" s="7" t="str">
        <f>"219120191016110600166922"</f>
        <v>219120191016110600166922</v>
      </c>
      <c r="B132" s="5">
        <v>129</v>
      </c>
      <c r="C132" s="5" t="str">
        <f>"杨玉秀"</f>
        <v>杨玉秀</v>
      </c>
      <c r="D132" s="5" t="str">
        <f>"452131199204141822"</f>
        <v>452131199204141822</v>
      </c>
      <c r="E132" s="5" t="str">
        <f>"海南省儋州市国营八一总场"</f>
        <v>海南省儋州市国营八一总场</v>
      </c>
      <c r="F132" s="5" t="str">
        <f>"海南省儋州市国营八一总场英岛二队"</f>
        <v>海南省儋州市国营八一总场英岛二队</v>
      </c>
      <c r="G132" s="5" t="s">
        <v>133</v>
      </c>
      <c r="H132" s="5" t="s">
        <v>7</v>
      </c>
    </row>
    <row r="133" ht="24.95" customHeight="1" spans="1:8">
      <c r="A133" s="7" t="str">
        <f>"219120191016161739167100"</f>
        <v>219120191016161739167100</v>
      </c>
      <c r="B133" s="5">
        <v>130</v>
      </c>
      <c r="C133" s="5" t="str">
        <f>"曾婷"</f>
        <v>曾婷</v>
      </c>
      <c r="D133" s="5" t="str">
        <f>"460003199411016628"</f>
        <v>460003199411016628</v>
      </c>
      <c r="E133" s="5" t="str">
        <f>"海南省东方市八所镇"</f>
        <v>海南省东方市八所镇</v>
      </c>
      <c r="F133" s="5" t="str">
        <f>"海南省东方市八所镇"</f>
        <v>海南省东方市八所镇</v>
      </c>
      <c r="G133" s="5" t="s">
        <v>134</v>
      </c>
      <c r="H133" s="5" t="s">
        <v>7</v>
      </c>
    </row>
    <row r="134" ht="24.95" customHeight="1" spans="1:8">
      <c r="A134" s="7" t="str">
        <f>"219120191016170931167146"</f>
        <v>219120191016170931167146</v>
      </c>
      <c r="B134" s="5">
        <v>131</v>
      </c>
      <c r="C134" s="5" t="str">
        <f>"黄彩玉"</f>
        <v>黄彩玉</v>
      </c>
      <c r="D134" s="5" t="str">
        <f>"460004199204145626"</f>
        <v>460004199204145626</v>
      </c>
      <c r="E134" s="5" t="str">
        <f>"海南省海口市琼山区"</f>
        <v>海南省海口市琼山区</v>
      </c>
      <c r="F134" s="5" t="str">
        <f>"海南省海口市琼山区下坎东路135号"</f>
        <v>海南省海口市琼山区下坎东路135号</v>
      </c>
      <c r="G134" s="5" t="s">
        <v>135</v>
      </c>
      <c r="H134" s="5" t="s">
        <v>7</v>
      </c>
    </row>
    <row r="135" ht="24.95" customHeight="1" spans="1:8">
      <c r="A135" s="7" t="str">
        <f>"219120191016185210167198"</f>
        <v>219120191016185210167198</v>
      </c>
      <c r="B135" s="5">
        <v>132</v>
      </c>
      <c r="C135" s="5" t="str">
        <f>"林烨"</f>
        <v>林烨</v>
      </c>
      <c r="D135" s="5" t="str">
        <f>"460033199508203225"</f>
        <v>460033199508203225</v>
      </c>
      <c r="E135" s="5" t="str">
        <f>"海南省乐东黎族自治县黄流镇"</f>
        <v>海南省乐东黎族自治县黄流镇</v>
      </c>
      <c r="F135" s="5" t="str">
        <f>"海南省乐东黎族自治县黄流镇黄中村委会一队80号"</f>
        <v>海南省乐东黎族自治县黄流镇黄中村委会一队80号</v>
      </c>
      <c r="G135" s="5" t="s">
        <v>136</v>
      </c>
      <c r="H135" s="5" t="s">
        <v>7</v>
      </c>
    </row>
    <row r="136" ht="24.95" customHeight="1" spans="1:8">
      <c r="A136" s="7" t="str">
        <f>"219120191017105908167423"</f>
        <v>219120191017105908167423</v>
      </c>
      <c r="B136" s="5">
        <v>133</v>
      </c>
      <c r="C136" s="5" t="str">
        <f>"鲍新宇"</f>
        <v>鲍新宇</v>
      </c>
      <c r="D136" s="5" t="str">
        <f>"152801199509230040"</f>
        <v>152801199509230040</v>
      </c>
      <c r="E136" s="5" t="str">
        <f>"内蒙古自治区巴彦淖尔市临河区"</f>
        <v>内蒙古自治区巴彦淖尔市临河区</v>
      </c>
      <c r="F136" s="5" t="str">
        <f>"内蒙古自治区巴彦淖尔市临河区"</f>
        <v>内蒙古自治区巴彦淖尔市临河区</v>
      </c>
      <c r="G136" s="5" t="s">
        <v>137</v>
      </c>
      <c r="H136" s="5" t="s">
        <v>7</v>
      </c>
    </row>
    <row r="137" ht="24.95" customHeight="1" spans="1:8">
      <c r="A137" s="7" t="str">
        <f>"219120191017140349167507"</f>
        <v>219120191017140349167507</v>
      </c>
      <c r="B137" s="5">
        <v>134</v>
      </c>
      <c r="C137" s="5" t="str">
        <f>"李玉妹"</f>
        <v>李玉妹</v>
      </c>
      <c r="D137" s="5" t="str">
        <f>"460006199303152322"</f>
        <v>460006199303152322</v>
      </c>
      <c r="E137" s="5" t="str">
        <f>"海南省万宁市后安镇龙田村"</f>
        <v>海南省万宁市后安镇龙田村</v>
      </c>
      <c r="F137" s="5" t="str">
        <f>"海南省万宁市后安镇龙田村"</f>
        <v>海南省万宁市后安镇龙田村</v>
      </c>
      <c r="G137" s="5" t="s">
        <v>138</v>
      </c>
      <c r="H137" s="5" t="s">
        <v>7</v>
      </c>
    </row>
    <row r="138" ht="24.95" customHeight="1" spans="1:8">
      <c r="A138" s="7" t="str">
        <f>"219120191017174040167602"</f>
        <v>219120191017174040167602</v>
      </c>
      <c r="B138" s="5">
        <v>135</v>
      </c>
      <c r="C138" s="5" t="str">
        <f>"梁倩"</f>
        <v>梁倩</v>
      </c>
      <c r="D138" s="5" t="str">
        <f>"460001199611191022"</f>
        <v>460001199611191022</v>
      </c>
      <c r="E138" s="5" t="str">
        <f>"海南省五指山市"</f>
        <v>海南省五指山市</v>
      </c>
      <c r="F138" s="5" t="str">
        <f>"海南省五指山市翡翠佳苑"</f>
        <v>海南省五指山市翡翠佳苑</v>
      </c>
      <c r="G138" s="5" t="s">
        <v>139</v>
      </c>
      <c r="H138" s="5" t="s">
        <v>7</v>
      </c>
    </row>
    <row r="139" ht="24.95" customHeight="1" spans="1:8">
      <c r="A139" s="7" t="str">
        <f>"219120191017203246167675"</f>
        <v>219120191017203246167675</v>
      </c>
      <c r="B139" s="5">
        <v>136</v>
      </c>
      <c r="C139" s="5" t="str">
        <f>"莫新彩"</f>
        <v>莫新彩</v>
      </c>
      <c r="D139" s="5" t="str">
        <f>"46000719941008726X"</f>
        <v>46000719941008726X</v>
      </c>
      <c r="E139" s="5" t="str">
        <f>"海南省东方市三家镇"</f>
        <v>海南省东方市三家镇</v>
      </c>
      <c r="F139" s="5" t="str">
        <f>"海南省东方市东方中学"</f>
        <v>海南省东方市东方中学</v>
      </c>
      <c r="G139" s="5" t="s">
        <v>140</v>
      </c>
      <c r="H139" s="5" t="s">
        <v>7</v>
      </c>
    </row>
    <row r="140" ht="24.95" customHeight="1" spans="1:8">
      <c r="A140" s="7" t="str">
        <f>"219120191017231015167732"</f>
        <v>219120191017231015167732</v>
      </c>
      <c r="B140" s="5">
        <v>137</v>
      </c>
      <c r="C140" s="5" t="str">
        <f>"林彬彬"</f>
        <v>林彬彬</v>
      </c>
      <c r="D140" s="5" t="str">
        <f>"460006199406173142"</f>
        <v>460006199406173142</v>
      </c>
      <c r="E140" s="5" t="str">
        <f>"海南省万宁市"</f>
        <v>海南省万宁市</v>
      </c>
      <c r="F140" s="5" t="str">
        <f>"海南省万宁市后安镇桥头村委会"</f>
        <v>海南省万宁市后安镇桥头村委会</v>
      </c>
      <c r="G140" s="5" t="s">
        <v>141</v>
      </c>
      <c r="H140" s="5" t="s">
        <v>7</v>
      </c>
    </row>
    <row r="141" ht="24.95" customHeight="1" spans="1:8">
      <c r="A141" s="7" t="str">
        <f>"219120191018100710167810"</f>
        <v>219120191018100710167810</v>
      </c>
      <c r="B141" s="5">
        <v>138</v>
      </c>
      <c r="C141" s="5" t="str">
        <f>"邱华南"</f>
        <v>邱华南</v>
      </c>
      <c r="D141" s="5" t="str">
        <f>"460027199104031327"</f>
        <v>460027199104031327</v>
      </c>
      <c r="E141" s="5" t="str">
        <f>"海南省澄迈县金江镇"</f>
        <v>海南省澄迈县金江镇</v>
      </c>
      <c r="F141" s="5" t="str">
        <f>"海南省澄迈县金江镇六角邝村委会老家村"</f>
        <v>海南省澄迈县金江镇六角邝村委会老家村</v>
      </c>
      <c r="G141" s="5" t="s">
        <v>142</v>
      </c>
      <c r="H141" s="5" t="s">
        <v>7</v>
      </c>
    </row>
    <row r="142" ht="24.95" customHeight="1" spans="1:8">
      <c r="A142" s="7" t="str">
        <f>"219120191018165248167995"</f>
        <v>219120191018165248167995</v>
      </c>
      <c r="B142" s="5">
        <v>139</v>
      </c>
      <c r="C142" s="5" t="str">
        <f>"黎爱霞"</f>
        <v>黎爱霞</v>
      </c>
      <c r="D142" s="5" t="str">
        <f>"460033199405043249"</f>
        <v>460033199405043249</v>
      </c>
      <c r="E142" s="5" t="str">
        <f>"海南乐东黎族自治县黄流派出所"</f>
        <v>海南乐东黎族自治县黄流派出所</v>
      </c>
      <c r="F142" s="5" t="str">
        <f>"海南省乐东县黄流镇新民村"</f>
        <v>海南省乐东县黄流镇新民村</v>
      </c>
      <c r="G142" s="5" t="s">
        <v>143</v>
      </c>
      <c r="H142" s="5" t="s">
        <v>7</v>
      </c>
    </row>
    <row r="143" ht="24.95" customHeight="1" spans="1:8">
      <c r="A143" s="7" t="str">
        <f>"219120191019100749168126"</f>
        <v>219120191019100749168126</v>
      </c>
      <c r="B143" s="5">
        <v>140</v>
      </c>
      <c r="C143" s="5" t="str">
        <f>"王巧侠"</f>
        <v>王巧侠</v>
      </c>
      <c r="D143" s="5" t="str">
        <f>"460026199511082723"</f>
        <v>460026199511082723</v>
      </c>
      <c r="E143" s="5" t="str">
        <f>"海南省屯昌县南坤镇"</f>
        <v>海南省屯昌县南坤镇</v>
      </c>
      <c r="F143" s="5" t="str">
        <f>"海南省屯昌县南坤镇黄岭村委会黄岭村011A号"</f>
        <v>海南省屯昌县南坤镇黄岭村委会黄岭村011A号</v>
      </c>
      <c r="G143" s="5" t="s">
        <v>144</v>
      </c>
      <c r="H143" s="5" t="s">
        <v>7</v>
      </c>
    </row>
    <row r="144" ht="24.95" customHeight="1" spans="1:8">
      <c r="A144" s="7" t="str">
        <f>"219120191019111621168150"</f>
        <v>219120191019111621168150</v>
      </c>
      <c r="B144" s="5">
        <v>141</v>
      </c>
      <c r="C144" s="5" t="str">
        <f>"杨燕"</f>
        <v>杨燕</v>
      </c>
      <c r="D144" s="5" t="str">
        <f>"460103199711253620"</f>
        <v>460103199711253620</v>
      </c>
      <c r="E144" s="5" t="str">
        <f>"海南省海口市龙华区新坡镇"</f>
        <v>海南省海口市龙华区新坡镇</v>
      </c>
      <c r="F144" s="5" t="str">
        <f>"海南省海口市龙华区新坡镇新村尾60号"</f>
        <v>海南省海口市龙华区新坡镇新村尾60号</v>
      </c>
      <c r="G144" s="5" t="s">
        <v>145</v>
      </c>
      <c r="H144" s="5" t="s">
        <v>7</v>
      </c>
    </row>
    <row r="145" ht="24.95" customHeight="1" spans="1:8">
      <c r="A145" s="7" t="str">
        <f>"219120191019151817168205"</f>
        <v>219120191019151817168205</v>
      </c>
      <c r="B145" s="5">
        <v>142</v>
      </c>
      <c r="C145" s="5" t="str">
        <f>"罗彩玲"</f>
        <v>罗彩玲</v>
      </c>
      <c r="D145" s="5" t="str">
        <f>"469003199311119521"</f>
        <v>469003199311119521</v>
      </c>
      <c r="E145" s="5" t="str">
        <f>"海南省儋州市国营新盈农场第一作业区"</f>
        <v>海南省儋州市国营新盈农场第一作业区</v>
      </c>
      <c r="F145" s="5" t="str">
        <f>"海南省临高县和舍镇南雅村"</f>
        <v>海南省临高县和舍镇南雅村</v>
      </c>
      <c r="G145" s="5" t="s">
        <v>146</v>
      </c>
      <c r="H145" s="5" t="s">
        <v>7</v>
      </c>
    </row>
    <row r="146" ht="24.95" customHeight="1" spans="1:8">
      <c r="A146" s="7" t="str">
        <f>"219120191019164636168228"</f>
        <v>219120191019164636168228</v>
      </c>
      <c r="B146" s="5">
        <v>143</v>
      </c>
      <c r="C146" s="5" t="str">
        <f>"甄学苹"</f>
        <v>甄学苹</v>
      </c>
      <c r="D146" s="5" t="str">
        <f>"460032199208087684"</f>
        <v>460032199208087684</v>
      </c>
      <c r="E146" s="5" t="str">
        <f>"海南省东方市八所镇"</f>
        <v>海南省东方市八所镇</v>
      </c>
      <c r="F146" s="5" t="str">
        <f>"海南省东方市八所镇"</f>
        <v>海南省东方市八所镇</v>
      </c>
      <c r="G146" s="5" t="s">
        <v>147</v>
      </c>
      <c r="H146" s="5" t="s">
        <v>7</v>
      </c>
    </row>
    <row r="147" ht="24.95" customHeight="1" spans="1:8">
      <c r="A147" s="7" t="str">
        <f>"219120191020090324168339"</f>
        <v>219120191020090324168339</v>
      </c>
      <c r="B147" s="5">
        <v>144</v>
      </c>
      <c r="C147" s="5" t="str">
        <f>"王飞"</f>
        <v>王飞</v>
      </c>
      <c r="D147" s="5" t="str">
        <f>"460026199202172725"</f>
        <v>460026199202172725</v>
      </c>
      <c r="E147" s="5" t="str">
        <f>"海南省屯昌县南坤镇派出所"</f>
        <v>海南省屯昌县南坤镇派出所</v>
      </c>
      <c r="F147" s="5" t="str">
        <f>"海南省屯昌县南坤镇炉村村委会"</f>
        <v>海南省屯昌县南坤镇炉村村委会</v>
      </c>
      <c r="G147" s="5" t="s">
        <v>148</v>
      </c>
      <c r="H147" s="5" t="s">
        <v>7</v>
      </c>
    </row>
    <row r="148" ht="24.95" customHeight="1" spans="1:8">
      <c r="A148" s="7" t="str">
        <f>"219120191020095003168351"</f>
        <v>219120191020095003168351</v>
      </c>
      <c r="B148" s="5">
        <v>145</v>
      </c>
      <c r="C148" s="5" t="str">
        <f>"林朝龙"</f>
        <v>林朝龙</v>
      </c>
      <c r="D148" s="5" t="str">
        <f>"460006199112141639"</f>
        <v>460006199112141639</v>
      </c>
      <c r="E148" s="5" t="str">
        <f>"海南省海口市"</f>
        <v>海南省海口市</v>
      </c>
      <c r="F148" s="5" t="str">
        <f>"海南省万宁市和乐镇"</f>
        <v>海南省万宁市和乐镇</v>
      </c>
      <c r="G148" s="5" t="s">
        <v>149</v>
      </c>
      <c r="H148" s="5" t="s">
        <v>7</v>
      </c>
    </row>
    <row r="149" ht="24.95" customHeight="1" spans="1:8">
      <c r="A149" s="7" t="str">
        <f>"219120191020112005168382"</f>
        <v>219120191020112005168382</v>
      </c>
      <c r="B149" s="5">
        <v>146</v>
      </c>
      <c r="C149" s="5" t="str">
        <f>"任丽颖"</f>
        <v>任丽颖</v>
      </c>
      <c r="D149" s="5" t="str">
        <f>"460007199409300027"</f>
        <v>460007199409300027</v>
      </c>
      <c r="E149" s="5" t="str">
        <f>"海南省东方市八所镇东海路派出所"</f>
        <v>海南省东方市八所镇东海路派出所</v>
      </c>
      <c r="F149" s="5" t="str">
        <f>"海南省东方市八所镇东海路西五巷"</f>
        <v>海南省东方市八所镇东海路西五巷</v>
      </c>
      <c r="G149" s="5" t="s">
        <v>150</v>
      </c>
      <c r="H149" s="5" t="s">
        <v>7</v>
      </c>
    </row>
    <row r="150" ht="24.95" customHeight="1" spans="1:8">
      <c r="A150" s="7" t="str">
        <f>"219120191020125031168403"</f>
        <v>219120191020125031168403</v>
      </c>
      <c r="B150" s="5">
        <v>147</v>
      </c>
      <c r="C150" s="5" t="str">
        <f>"陈朝龙"</f>
        <v>陈朝龙</v>
      </c>
      <c r="D150" s="5" t="str">
        <f>"460033199501273570"</f>
        <v>460033199501273570</v>
      </c>
      <c r="E150" s="5" t="str">
        <f>"海南省乐东县莺歌海镇"</f>
        <v>海南省乐东县莺歌海镇</v>
      </c>
      <c r="F150" s="5" t="str">
        <f>"海南省乐东县莺歌海镇"</f>
        <v>海南省乐东县莺歌海镇</v>
      </c>
      <c r="G150" s="5" t="s">
        <v>151</v>
      </c>
      <c r="H150" s="5" t="s">
        <v>7</v>
      </c>
    </row>
    <row r="151" ht="24.95" customHeight="1" spans="1:8">
      <c r="A151" s="7" t="str">
        <f>"219120191020125309168406"</f>
        <v>219120191020125309168406</v>
      </c>
      <c r="B151" s="5">
        <v>148</v>
      </c>
      <c r="C151" s="5" t="str">
        <f>"李槟"</f>
        <v>李槟</v>
      </c>
      <c r="D151" s="5" t="str">
        <f>"460026199406034527"</f>
        <v>460026199406034527</v>
      </c>
      <c r="E151" s="5" t="str">
        <f>"海南省屯昌县"</f>
        <v>海南省屯昌县</v>
      </c>
      <c r="F151" s="5" t="str">
        <f>"海南省屯昌县锦锈小区"</f>
        <v>海南省屯昌县锦锈小区</v>
      </c>
      <c r="G151" s="5" t="s">
        <v>152</v>
      </c>
      <c r="H151" s="5" t="s">
        <v>7</v>
      </c>
    </row>
    <row r="152" ht="24.95" customHeight="1" spans="1:8">
      <c r="A152" s="7" t="str">
        <f>"219120191020133502168418"</f>
        <v>219120191020133502168418</v>
      </c>
      <c r="B152" s="5">
        <v>149</v>
      </c>
      <c r="C152" s="5" t="str">
        <f>"文诗云"</f>
        <v>文诗云</v>
      </c>
      <c r="D152" s="5" t="str">
        <f>"46000719940203722X"</f>
        <v>46000719940203722X</v>
      </c>
      <c r="E152" s="5" t="str">
        <f>"东方市三家镇"</f>
        <v>东方市三家镇</v>
      </c>
      <c r="F152" s="5" t="str">
        <f>"海南省东方市三家镇玉雄村"</f>
        <v>海南省东方市三家镇玉雄村</v>
      </c>
      <c r="G152" s="5" t="s">
        <v>153</v>
      </c>
      <c r="H152" s="5" t="s">
        <v>7</v>
      </c>
    </row>
    <row r="153" ht="24.95" customHeight="1" spans="1:8">
      <c r="A153" s="7" t="str">
        <f>"219120191020140958168428"</f>
        <v>219120191020140958168428</v>
      </c>
      <c r="B153" s="5">
        <v>150</v>
      </c>
      <c r="C153" s="5" t="str">
        <f>"王杏"</f>
        <v>王杏</v>
      </c>
      <c r="D153" s="5" t="str">
        <f>"460006199702161621"</f>
        <v>460006199702161621</v>
      </c>
      <c r="E153" s="5" t="str">
        <f>"万宁市和乐镇"</f>
        <v>万宁市和乐镇</v>
      </c>
      <c r="F153" s="5" t="str">
        <f>"海南省万宁市和乐镇和乐村委会莲塘村"</f>
        <v>海南省万宁市和乐镇和乐村委会莲塘村</v>
      </c>
      <c r="G153" s="5" t="s">
        <v>154</v>
      </c>
      <c r="H153" s="5" t="s">
        <v>7</v>
      </c>
    </row>
    <row r="154" ht="24.95" customHeight="1" spans="1:8">
      <c r="A154" s="7" t="str">
        <f>"219120191020161511168475"</f>
        <v>219120191020161511168475</v>
      </c>
      <c r="B154" s="5">
        <v>151</v>
      </c>
      <c r="C154" s="5" t="str">
        <f>"陈丽平"</f>
        <v>陈丽平</v>
      </c>
      <c r="D154" s="5" t="str">
        <f>"460028199108150901"</f>
        <v>460028199108150901</v>
      </c>
      <c r="E154" s="5" t="str">
        <f>"海南省临高县新盈镇"</f>
        <v>海南省临高县新盈镇</v>
      </c>
      <c r="F154" s="5" t="str">
        <f>"海南省临高县新盈镇龙兰村"</f>
        <v>海南省临高县新盈镇龙兰村</v>
      </c>
      <c r="G154" s="5" t="s">
        <v>155</v>
      </c>
      <c r="H154" s="5" t="s">
        <v>7</v>
      </c>
    </row>
    <row r="155" ht="24.95" customHeight="1" spans="1:8">
      <c r="A155" s="7" t="str">
        <f>"219120191014091317165352"</f>
        <v>219120191014091317165352</v>
      </c>
      <c r="B155" s="5">
        <v>152</v>
      </c>
      <c r="C155" s="5" t="str">
        <f>"陈佳"</f>
        <v>陈佳</v>
      </c>
      <c r="D155" s="5" t="str">
        <f>"460033199210204487"</f>
        <v>460033199210204487</v>
      </c>
      <c r="E155" s="5" t="str">
        <f>"海南省三亚市河西派出所"</f>
        <v>海南省三亚市河西派出所</v>
      </c>
      <c r="F155" s="5" t="str">
        <f>"三亚市吉阳区凤凰路丹州小区"</f>
        <v>三亚市吉阳区凤凰路丹州小区</v>
      </c>
      <c r="G155" s="5" t="s">
        <v>156</v>
      </c>
      <c r="H155" s="5" t="s">
        <v>7</v>
      </c>
    </row>
    <row r="156" ht="24.95" customHeight="1" spans="1:8">
      <c r="A156" s="7" t="str">
        <f>"219120191014142717165675"</f>
        <v>219120191014142717165675</v>
      </c>
      <c r="B156" s="5">
        <v>153</v>
      </c>
      <c r="C156" s="5" t="str">
        <f>"郑玉"</f>
        <v>郑玉</v>
      </c>
      <c r="D156" s="5" t="str">
        <f>"511322199004128180"</f>
        <v>511322199004128180</v>
      </c>
      <c r="E156" s="5" t="str">
        <f>"四川营山"</f>
        <v>四川营山</v>
      </c>
      <c r="F156" s="5" t="str">
        <f>"海口市秀英区西秀镇长滨六路五源河公寓B区17栋"</f>
        <v>海口市秀英区西秀镇长滨六路五源河公寓B区17栋</v>
      </c>
      <c r="G156" s="5" t="s">
        <v>157</v>
      </c>
      <c r="H156" s="5" t="s">
        <v>7</v>
      </c>
    </row>
    <row r="157" ht="24.95" customHeight="1" spans="1:8">
      <c r="A157" s="7" t="str">
        <f>"219120191014143304165680"</f>
        <v>219120191014143304165680</v>
      </c>
      <c r="B157" s="5">
        <v>154</v>
      </c>
      <c r="C157" s="5" t="str">
        <f>"陆有龙"</f>
        <v>陆有龙</v>
      </c>
      <c r="D157" s="5" t="str">
        <f>"460003199704142417"</f>
        <v>460003199704142417</v>
      </c>
      <c r="E157" s="5" t="str">
        <f>"海南省儋州市"</f>
        <v>海南省儋州市</v>
      </c>
      <c r="F157" s="5" t="str">
        <f>"海南省儋州市国营西培农场"</f>
        <v>海南省儋州市国营西培农场</v>
      </c>
      <c r="G157" s="5" t="s">
        <v>158</v>
      </c>
      <c r="H157" s="5" t="s">
        <v>7</v>
      </c>
    </row>
    <row r="158" ht="24.95" customHeight="1" spans="1:8">
      <c r="A158" s="7" t="str">
        <f>"219120191014155724165765"</f>
        <v>219120191014155724165765</v>
      </c>
      <c r="B158" s="5">
        <v>155</v>
      </c>
      <c r="C158" s="5" t="str">
        <f>"黄杏丁"</f>
        <v>黄杏丁</v>
      </c>
      <c r="D158" s="5" t="str">
        <f>"46002719910620472X"</f>
        <v>46002719910620472X</v>
      </c>
      <c r="E158" s="5" t="str">
        <f>"海南省澄迈县老城镇"</f>
        <v>海南省澄迈县老城镇</v>
      </c>
      <c r="F158" s="5" t="str">
        <f>"海南省澄迈县老城镇文明三路4号"</f>
        <v>海南省澄迈县老城镇文明三路4号</v>
      </c>
      <c r="G158" s="5" t="s">
        <v>159</v>
      </c>
      <c r="H158" s="5" t="s">
        <v>7</v>
      </c>
    </row>
    <row r="159" ht="24.95" customHeight="1" spans="1:8">
      <c r="A159" s="7" t="str">
        <f>"219120191014171135165837"</f>
        <v>219120191014171135165837</v>
      </c>
      <c r="B159" s="5">
        <v>156</v>
      </c>
      <c r="C159" s="5" t="str">
        <f>"赵春娇"</f>
        <v>赵春娇</v>
      </c>
      <c r="D159" s="5" t="str">
        <f>"460031199003211227"</f>
        <v>460031199003211227</v>
      </c>
      <c r="E159" s="5" t="str">
        <f>"海南省昌江县石碌镇"</f>
        <v>海南省昌江县石碌镇</v>
      </c>
      <c r="F159" s="5" t="str">
        <f>"海南省昌江县昌江石碌英才学校"</f>
        <v>海南省昌江县昌江石碌英才学校</v>
      </c>
      <c r="G159" s="5" t="s">
        <v>160</v>
      </c>
      <c r="H159" s="5" t="s">
        <v>7</v>
      </c>
    </row>
    <row r="160" ht="24.95" customHeight="1" spans="1:8">
      <c r="A160" s="7" t="str">
        <f>"219120191014201113165957"</f>
        <v>219120191014201113165957</v>
      </c>
      <c r="B160" s="5">
        <v>157</v>
      </c>
      <c r="C160" s="5" t="str">
        <f>"陈够燕"</f>
        <v>陈够燕</v>
      </c>
      <c r="D160" s="5" t="str">
        <f>"460007199307060843"</f>
        <v>460007199307060843</v>
      </c>
      <c r="E160" s="5" t="str">
        <f>"海南省东方市八所镇"</f>
        <v>海南省东方市八所镇</v>
      </c>
      <c r="F160" s="5" t="str">
        <f>"海南省东方市八所镇皇宁村"</f>
        <v>海南省东方市八所镇皇宁村</v>
      </c>
      <c r="G160" s="5" t="s">
        <v>161</v>
      </c>
      <c r="H160" s="5" t="s">
        <v>7</v>
      </c>
    </row>
    <row r="161" ht="24.95" customHeight="1" spans="1:8">
      <c r="A161" s="7" t="str">
        <f>"219120191014205046165992"</f>
        <v>219120191014205046165992</v>
      </c>
      <c r="B161" s="5">
        <v>158</v>
      </c>
      <c r="C161" s="5" t="str">
        <f>"陈巧娜"</f>
        <v>陈巧娜</v>
      </c>
      <c r="D161" s="5" t="str">
        <f>"46000619960826232X"</f>
        <v>46000619960826232X</v>
      </c>
      <c r="E161" s="5" t="str">
        <f>"海南省万宁市后安镇"</f>
        <v>海南省万宁市后安镇</v>
      </c>
      <c r="F161" s="5" t="str">
        <f>"海南省万宁市万城镇文明南路"</f>
        <v>海南省万宁市万城镇文明南路</v>
      </c>
      <c r="G161" s="5" t="s">
        <v>50</v>
      </c>
      <c r="H161" s="5" t="s">
        <v>7</v>
      </c>
    </row>
    <row r="162" ht="24.95" customHeight="1" spans="1:8">
      <c r="A162" s="7" t="str">
        <f>"219120191014231719166094"</f>
        <v>219120191014231719166094</v>
      </c>
      <c r="B162" s="5">
        <v>159</v>
      </c>
      <c r="C162" s="5" t="str">
        <f>"王祺定"</f>
        <v>王祺定</v>
      </c>
      <c r="D162" s="5" t="str">
        <f>"460027199511096611"</f>
        <v>460027199511096611</v>
      </c>
      <c r="E162" s="5" t="str">
        <f>"海南省澄迈县"</f>
        <v>海南省澄迈县</v>
      </c>
      <c r="F162" s="5" t="str">
        <f>"海南省澄迈县西达农场武胜队"</f>
        <v>海南省澄迈县西达农场武胜队</v>
      </c>
      <c r="G162" s="5" t="s">
        <v>162</v>
      </c>
      <c r="H162" s="5" t="s">
        <v>7</v>
      </c>
    </row>
    <row r="163" ht="24.95" customHeight="1" spans="1:8">
      <c r="A163" s="7" t="str">
        <f>"219120191015075007166119"</f>
        <v>219120191015075007166119</v>
      </c>
      <c r="B163" s="5">
        <v>160</v>
      </c>
      <c r="C163" s="5" t="str">
        <f>"周臣"</f>
        <v>周臣</v>
      </c>
      <c r="D163" s="5" t="str">
        <f>"460003199401152212"</f>
        <v>460003199401152212</v>
      </c>
      <c r="E163" s="5" t="str">
        <f>"海南省儋州市东成镇东成派出所"</f>
        <v>海南省儋州市东成镇东成派出所</v>
      </c>
      <c r="F163" s="5" t="str">
        <f>"海南省儋州市东成镇长坡居委会长坡大街"</f>
        <v>海南省儋州市东成镇长坡居委会长坡大街</v>
      </c>
      <c r="G163" s="5" t="s">
        <v>163</v>
      </c>
      <c r="H163" s="5" t="s">
        <v>7</v>
      </c>
    </row>
    <row r="164" ht="24.95" customHeight="1" spans="1:8">
      <c r="A164" s="7" t="str">
        <f>"219120191015095739166214"</f>
        <v>219120191015095739166214</v>
      </c>
      <c r="B164" s="5">
        <v>161</v>
      </c>
      <c r="C164" s="5" t="str">
        <f>"吴贵美"</f>
        <v>吴贵美</v>
      </c>
      <c r="D164" s="5" t="str">
        <f>"460003199108272821"</f>
        <v>460003199108272821</v>
      </c>
      <c r="E164" s="5" t="str">
        <f>"海南省儋州市中和派出所"</f>
        <v>海南省儋州市中和派出所</v>
      </c>
      <c r="F164" s="5" t="str">
        <f>"海南省儋州市中和镇"</f>
        <v>海南省儋州市中和镇</v>
      </c>
      <c r="G164" s="5" t="s">
        <v>164</v>
      </c>
      <c r="H164" s="5" t="s">
        <v>7</v>
      </c>
    </row>
    <row r="165" ht="24.95" customHeight="1" spans="1:8">
      <c r="A165" s="7" t="str">
        <f>"219120191015103315166253"</f>
        <v>219120191015103315166253</v>
      </c>
      <c r="B165" s="5">
        <v>162</v>
      </c>
      <c r="C165" s="5" t="str">
        <f>"王槐丽"</f>
        <v>王槐丽</v>
      </c>
      <c r="D165" s="5" t="str">
        <f>"460033199108194489"</f>
        <v>460033199108194489</v>
      </c>
      <c r="E165" s="5" t="str">
        <f>"海南省乐东县利国镇"</f>
        <v>海南省乐东县利国镇</v>
      </c>
      <c r="F165" s="5" t="str">
        <f>"海南省乐东县利国镇佛丰村"</f>
        <v>海南省乐东县利国镇佛丰村</v>
      </c>
      <c r="G165" s="5" t="s">
        <v>165</v>
      </c>
      <c r="H165" s="5" t="s">
        <v>7</v>
      </c>
    </row>
    <row r="166" ht="24.95" customHeight="1" spans="1:8">
      <c r="A166" s="7" t="str">
        <f>"219120191015104212166268"</f>
        <v>219120191015104212166268</v>
      </c>
      <c r="B166" s="5">
        <v>163</v>
      </c>
      <c r="C166" s="5" t="str">
        <f>"郑森"</f>
        <v>郑森</v>
      </c>
      <c r="D166" s="5" t="str">
        <f>"460026199511295112"</f>
        <v>460026199511295112</v>
      </c>
      <c r="E166" s="5" t="str">
        <f>"海南省屯昌县中坤农场19队"</f>
        <v>海南省屯昌县中坤农场19队</v>
      </c>
      <c r="F166" s="5" t="str">
        <f>"海南省屯昌县中坤农场19队"</f>
        <v>海南省屯昌县中坤农场19队</v>
      </c>
      <c r="G166" s="5" t="s">
        <v>166</v>
      </c>
      <c r="H166" s="5" t="s">
        <v>7</v>
      </c>
    </row>
    <row r="167" ht="24.95" customHeight="1" spans="1:8">
      <c r="A167" s="7" t="str">
        <f>"219120191015111158166298"</f>
        <v>219120191015111158166298</v>
      </c>
      <c r="B167" s="5">
        <v>164</v>
      </c>
      <c r="C167" s="5" t="str">
        <f>"黎瑞婵"</f>
        <v>黎瑞婵</v>
      </c>
      <c r="D167" s="5" t="str">
        <f>"460033199204253223"</f>
        <v>460033199204253223</v>
      </c>
      <c r="E167" s="5" t="str">
        <f>"海南省乐东县黄流镇"</f>
        <v>海南省乐东县黄流镇</v>
      </c>
      <c r="F167" s="5" t="str">
        <f>"海南省乐东县黄流镇官员村委会十一队"</f>
        <v>海南省乐东县黄流镇官员村委会十一队</v>
      </c>
      <c r="G167" s="5" t="s">
        <v>167</v>
      </c>
      <c r="H167" s="5" t="s">
        <v>7</v>
      </c>
    </row>
    <row r="168" ht="24.95" customHeight="1" spans="1:8">
      <c r="A168" s="7" t="str">
        <f>"219120191015112137166312"</f>
        <v>219120191015112137166312</v>
      </c>
      <c r="B168" s="5">
        <v>165</v>
      </c>
      <c r="C168" s="5" t="str">
        <f>"林巧"</f>
        <v>林巧</v>
      </c>
      <c r="D168" s="5" t="str">
        <f>"460033199303125083"</f>
        <v>460033199303125083</v>
      </c>
      <c r="E168" s="5" t="str">
        <f>"海南省乐东县"</f>
        <v>海南省乐东县</v>
      </c>
      <c r="F168" s="5" t="str">
        <f>"海南省乐东县利国镇球港村委会五队"</f>
        <v>海南省乐东县利国镇球港村委会五队</v>
      </c>
      <c r="G168" s="5" t="s">
        <v>168</v>
      </c>
      <c r="H168" s="5" t="s">
        <v>7</v>
      </c>
    </row>
    <row r="169" ht="24.95" customHeight="1" spans="1:8">
      <c r="A169" s="7" t="str">
        <f>"219120191015151846166465"</f>
        <v>219120191015151846166465</v>
      </c>
      <c r="B169" s="5">
        <v>166</v>
      </c>
      <c r="C169" s="5" t="str">
        <f>"林会容"</f>
        <v>林会容</v>
      </c>
      <c r="D169" s="5" t="str">
        <f>"460006199107062020"</f>
        <v>460006199107062020</v>
      </c>
      <c r="E169" s="5" t="str">
        <f>"海南省万宁市和乐镇"</f>
        <v>海南省万宁市和乐镇</v>
      </c>
      <c r="F169" s="5" t="str">
        <f>"海南省万宁市和乐镇联丰村委会新龙村"</f>
        <v>海南省万宁市和乐镇联丰村委会新龙村</v>
      </c>
      <c r="G169" s="5" t="s">
        <v>169</v>
      </c>
      <c r="H169" s="5" t="s">
        <v>7</v>
      </c>
    </row>
    <row r="170" ht="24.95" customHeight="1" spans="1:8">
      <c r="A170" s="7" t="str">
        <f>"219120191015152346166471"</f>
        <v>219120191015152346166471</v>
      </c>
      <c r="B170" s="5">
        <v>167</v>
      </c>
      <c r="C170" s="5" t="str">
        <f>"卢燕"</f>
        <v>卢燕</v>
      </c>
      <c r="D170" s="5" t="str">
        <f>"460026199606280028"</f>
        <v>460026199606280028</v>
      </c>
      <c r="E170" s="5" t="str">
        <f>"海南省屯昌县"</f>
        <v>海南省屯昌县</v>
      </c>
      <c r="F170" s="5" t="str">
        <f>"海南省文昌市昌洒镇"</f>
        <v>海南省文昌市昌洒镇</v>
      </c>
      <c r="G170" s="5" t="s">
        <v>170</v>
      </c>
      <c r="H170" s="5" t="s">
        <v>7</v>
      </c>
    </row>
    <row r="171" ht="24.95" customHeight="1" spans="1:8">
      <c r="A171" s="7" t="str">
        <f>"219120191015152536166472"</f>
        <v>219120191015152536166472</v>
      </c>
      <c r="B171" s="5">
        <v>168</v>
      </c>
      <c r="C171" s="5" t="str">
        <f>"王慧莹"</f>
        <v>王慧莹</v>
      </c>
      <c r="D171" s="5" t="str">
        <f>"46002819941122482X"</f>
        <v>46002819941122482X</v>
      </c>
      <c r="E171" s="5" t="str">
        <f>"海南省临高县多文镇"</f>
        <v>海南省临高县多文镇</v>
      </c>
      <c r="F171" s="5" t="str">
        <f>"海南省临高县多文镇美山村委会武大村18号"</f>
        <v>海南省临高县多文镇美山村委会武大村18号</v>
      </c>
      <c r="G171" s="5" t="s">
        <v>171</v>
      </c>
      <c r="H171" s="5" t="s">
        <v>7</v>
      </c>
    </row>
    <row r="172" ht="24.95" customHeight="1" spans="1:8">
      <c r="A172" s="7" t="str">
        <f>"219120191015153946166492"</f>
        <v>219120191015153946166492</v>
      </c>
      <c r="B172" s="5">
        <v>169</v>
      </c>
      <c r="C172" s="5" t="str">
        <f>"王少环"</f>
        <v>王少环</v>
      </c>
      <c r="D172" s="5" t="str">
        <f>"460028199609127224"</f>
        <v>460028199609127224</v>
      </c>
      <c r="E172" s="5" t="str">
        <f>"海南省临高县调楼镇"</f>
        <v>海南省临高县调楼镇</v>
      </c>
      <c r="F172" s="5" t="str">
        <f>"海南省临高县调楼镇"</f>
        <v>海南省临高县调楼镇</v>
      </c>
      <c r="G172" s="5" t="s">
        <v>172</v>
      </c>
      <c r="H172" s="5" t="s">
        <v>7</v>
      </c>
    </row>
    <row r="173" ht="24.95" customHeight="1" spans="1:8">
      <c r="A173" s="7" t="str">
        <f>"219120191015154328166498"</f>
        <v>219120191015154328166498</v>
      </c>
      <c r="B173" s="5">
        <v>170</v>
      </c>
      <c r="C173" s="5" t="str">
        <f>"唐国"</f>
        <v>唐国</v>
      </c>
      <c r="D173" s="5" t="str">
        <f>"460007199410127612"</f>
        <v>460007199410127612</v>
      </c>
      <c r="E173" s="5" t="str">
        <f>"海南省东方市八所镇"</f>
        <v>海南省东方市八所镇</v>
      </c>
      <c r="F173" s="5" t="str">
        <f>"海南省东方市八所镇福久村八队"</f>
        <v>海南省东方市八所镇福久村八队</v>
      </c>
      <c r="G173" s="5" t="s">
        <v>173</v>
      </c>
      <c r="H173" s="5" t="s">
        <v>7</v>
      </c>
    </row>
    <row r="174" ht="24.95" customHeight="1" spans="1:8">
      <c r="A174" s="7" t="str">
        <f>"219120191015160257166527"</f>
        <v>219120191015160257166527</v>
      </c>
      <c r="B174" s="5">
        <v>171</v>
      </c>
      <c r="C174" s="5" t="str">
        <f>"王锡慧"</f>
        <v>王锡慧</v>
      </c>
      <c r="D174" s="5" t="str">
        <f>"460007199208204661"</f>
        <v>460007199208204661</v>
      </c>
      <c r="E174" s="5" t="str">
        <f>"海南省东方市四更边防派出所"</f>
        <v>海南省东方市四更边防派出所</v>
      </c>
      <c r="F174" s="5" t="str">
        <f>"海南省东方市八所海建宿舍"</f>
        <v>海南省东方市八所海建宿舍</v>
      </c>
      <c r="G174" s="5" t="s">
        <v>174</v>
      </c>
      <c r="H174" s="5" t="s">
        <v>7</v>
      </c>
    </row>
    <row r="175" ht="24.95" customHeight="1" spans="1:8">
      <c r="A175" s="7" t="str">
        <f>"219120191015212014166723"</f>
        <v>219120191015212014166723</v>
      </c>
      <c r="B175" s="5">
        <v>172</v>
      </c>
      <c r="C175" s="5" t="str">
        <f>"林玛明"</f>
        <v>林玛明</v>
      </c>
      <c r="D175" s="5" t="str">
        <f>"440825199003073461"</f>
        <v>440825199003073461</v>
      </c>
      <c r="E175" s="5" t="str">
        <f>"海南省海口市"</f>
        <v>海南省海口市</v>
      </c>
      <c r="F175" s="5" t="str">
        <f>"海南省海口市美兰区海甸岛四东路4号"</f>
        <v>海南省海口市美兰区海甸岛四东路4号</v>
      </c>
      <c r="G175" s="5" t="s">
        <v>175</v>
      </c>
      <c r="H175" s="5" t="s">
        <v>7</v>
      </c>
    </row>
    <row r="176" ht="24.95" customHeight="1" spans="1:8">
      <c r="A176" s="7" t="str">
        <f>"219120191015222819166756"</f>
        <v>219120191015222819166756</v>
      </c>
      <c r="B176" s="5">
        <v>173</v>
      </c>
      <c r="C176" s="5" t="str">
        <f>"羊英荣"</f>
        <v>羊英荣</v>
      </c>
      <c r="D176" s="5" t="str">
        <f>"46000319940605702X"</f>
        <v>46000319940605702X</v>
      </c>
      <c r="E176" s="5" t="str">
        <f>"海南省儋州市西庆农场"</f>
        <v>海南省儋州市西庆农场</v>
      </c>
      <c r="F176" s="5" t="str">
        <f>"海南省儋州市西庆农场七队"</f>
        <v>海南省儋州市西庆农场七队</v>
      </c>
      <c r="G176" s="5" t="s">
        <v>176</v>
      </c>
      <c r="H176" s="5" t="s">
        <v>7</v>
      </c>
    </row>
    <row r="177" ht="24.95" customHeight="1" spans="1:8">
      <c r="A177" s="7" t="str">
        <f>"219120191016082537166805"</f>
        <v>219120191016082537166805</v>
      </c>
      <c r="B177" s="5">
        <v>174</v>
      </c>
      <c r="C177" s="5" t="str">
        <f>"孙翠"</f>
        <v>孙翠</v>
      </c>
      <c r="D177" s="5" t="str">
        <f>"620421199212084163"</f>
        <v>620421199212084163</v>
      </c>
      <c r="E177" s="5" t="str">
        <f>"甘肃省白银市靖远县五合镇"</f>
        <v>甘肃省白银市靖远县五合镇</v>
      </c>
      <c r="F177" s="5" t="str">
        <f>"海南省海口市琼山区国兴街道兴丹路14号海南省农业科学院"</f>
        <v>海南省海口市琼山区国兴街道兴丹路14号海南省农业科学院</v>
      </c>
      <c r="G177" s="5" t="s">
        <v>177</v>
      </c>
      <c r="H177" s="5" t="s">
        <v>7</v>
      </c>
    </row>
    <row r="178" ht="24.95" customHeight="1" spans="1:8">
      <c r="A178" s="7" t="str">
        <f>"219120191016093620166855"</f>
        <v>219120191016093620166855</v>
      </c>
      <c r="B178" s="5">
        <v>175</v>
      </c>
      <c r="C178" s="5" t="str">
        <f>"倪德霞"</f>
        <v>倪德霞</v>
      </c>
      <c r="D178" s="5" t="str">
        <f>"460007199204165001"</f>
        <v>460007199204165001</v>
      </c>
      <c r="E178" s="5" t="str">
        <f>"海南省东方市四更镇"</f>
        <v>海南省东方市四更镇</v>
      </c>
      <c r="F178" s="5" t="str">
        <f>"海口市琼山区新大洲大道396-2号海口市琼山中学"</f>
        <v>海口市琼山区新大洲大道396-2号海口市琼山中学</v>
      </c>
      <c r="G178" s="5" t="s">
        <v>178</v>
      </c>
      <c r="H178" s="5" t="s">
        <v>7</v>
      </c>
    </row>
    <row r="179" ht="24.95" customHeight="1" spans="1:8">
      <c r="A179" s="7" t="str">
        <f>"219120191016110612166923"</f>
        <v>219120191016110612166923</v>
      </c>
      <c r="B179" s="5">
        <v>176</v>
      </c>
      <c r="C179" s="5" t="str">
        <f>"蒋玉花"</f>
        <v>蒋玉花</v>
      </c>
      <c r="D179" s="5" t="str">
        <f>"46000719920723536X"</f>
        <v>46000719920723536X</v>
      </c>
      <c r="E179" s="5" t="str">
        <f>"海南省东方市新龙镇"</f>
        <v>海南省东方市新龙镇</v>
      </c>
      <c r="F179" s="5" t="str">
        <f>"海南省东方市新龙镇龙佑村7队"</f>
        <v>海南省东方市新龙镇龙佑村7队</v>
      </c>
      <c r="G179" s="5" t="s">
        <v>179</v>
      </c>
      <c r="H179" s="5" t="s">
        <v>7</v>
      </c>
    </row>
    <row r="180" ht="24.95" customHeight="1" spans="1:8">
      <c r="A180" s="7" t="str">
        <f>"219120191016113340166945"</f>
        <v>219120191016113340166945</v>
      </c>
      <c r="B180" s="5">
        <v>177</v>
      </c>
      <c r="C180" s="5" t="str">
        <f>"陈喜迎"</f>
        <v>陈喜迎</v>
      </c>
      <c r="D180" s="5" t="str">
        <f>"460033199701283220"</f>
        <v>460033199701283220</v>
      </c>
      <c r="E180" s="5" t="str">
        <f>"海南省乐东县黄流镇"</f>
        <v>海南省乐东县黄流镇</v>
      </c>
      <c r="F180" s="5" t="str">
        <f>"海南省乐东县黄流镇"</f>
        <v>海南省乐东县黄流镇</v>
      </c>
      <c r="G180" s="5" t="s">
        <v>180</v>
      </c>
      <c r="H180" s="5" t="s">
        <v>7</v>
      </c>
    </row>
    <row r="181" ht="24.95" customHeight="1" spans="1:8">
      <c r="A181" s="7" t="str">
        <f>"219120191016123630166975"</f>
        <v>219120191016123630166975</v>
      </c>
      <c r="B181" s="5">
        <v>178</v>
      </c>
      <c r="C181" s="5" t="str">
        <f>"王春燕"</f>
        <v>王春燕</v>
      </c>
      <c r="D181" s="5" t="str">
        <f>"460026199601163041"</f>
        <v>460026199601163041</v>
      </c>
      <c r="E181" s="5" t="str">
        <f>"海南省屯昌县"</f>
        <v>海南省屯昌县</v>
      </c>
      <c r="F181" s="5" t="str">
        <f>"海南省屯昌县富仁路二里7号"</f>
        <v>海南省屯昌县富仁路二里7号</v>
      </c>
      <c r="G181" s="5" t="s">
        <v>181</v>
      </c>
      <c r="H181" s="5" t="s">
        <v>7</v>
      </c>
    </row>
    <row r="182" ht="24.95" customHeight="1" spans="1:8">
      <c r="A182" s="7" t="str">
        <f>"219120191016151055167043"</f>
        <v>219120191016151055167043</v>
      </c>
      <c r="B182" s="5">
        <v>179</v>
      </c>
      <c r="C182" s="5" t="str">
        <f>"陈海妮"</f>
        <v>陈海妮</v>
      </c>
      <c r="D182" s="5" t="str">
        <f>"460033199012284906"</f>
        <v>460033199012284906</v>
      </c>
      <c r="E182" s="5" t="str">
        <f>"海南省乐东县利国镇赤塘村委24号"</f>
        <v>海南省乐东县利国镇赤塘村委24号</v>
      </c>
      <c r="F182" s="5" t="str">
        <f>"海南省乐东县赤塘村委会24号"</f>
        <v>海南省乐东县赤塘村委会24号</v>
      </c>
      <c r="G182" s="5" t="s">
        <v>182</v>
      </c>
      <c r="H182" s="5" t="s">
        <v>7</v>
      </c>
    </row>
    <row r="183" ht="24.95" customHeight="1" spans="1:8">
      <c r="A183" s="7" t="str">
        <f>"219120191016153151167068"</f>
        <v>219120191016153151167068</v>
      </c>
      <c r="B183" s="5">
        <v>180</v>
      </c>
      <c r="C183" s="5" t="str">
        <f>"王朝孟"</f>
        <v>王朝孟</v>
      </c>
      <c r="D183" s="5" t="str">
        <f>"460031199201256813"</f>
        <v>460031199201256813</v>
      </c>
      <c r="E183" s="5" t="str">
        <f>"海南省昌江黎族自治县"</f>
        <v>海南省昌江黎族自治县</v>
      </c>
      <c r="F183" s="5" t="str">
        <f>"海南省昌江黎族自治县海尾镇大安村"</f>
        <v>海南省昌江黎族自治县海尾镇大安村</v>
      </c>
      <c r="G183" s="5" t="s">
        <v>183</v>
      </c>
      <c r="H183" s="5" t="s">
        <v>7</v>
      </c>
    </row>
    <row r="184" ht="24.95" customHeight="1" spans="1:8">
      <c r="A184" s="7" t="str">
        <f>"219120191016153154167069"</f>
        <v>219120191016153154167069</v>
      </c>
      <c r="B184" s="5">
        <v>181</v>
      </c>
      <c r="C184" s="5" t="str">
        <f>"李玲"</f>
        <v>李玲</v>
      </c>
      <c r="D184" s="5" t="str">
        <f>"460200199704070021"</f>
        <v>460200199704070021</v>
      </c>
      <c r="E184" s="5" t="str">
        <f>"海南省三亚市吉阳区河东派出所"</f>
        <v>海南省三亚市吉阳区河东派出所</v>
      </c>
      <c r="F184" s="5" t="str">
        <f>"三亚市凤凰镇羊栏"</f>
        <v>三亚市凤凰镇羊栏</v>
      </c>
      <c r="G184" s="5" t="s">
        <v>184</v>
      </c>
      <c r="H184" s="5" t="s">
        <v>7</v>
      </c>
    </row>
    <row r="185" ht="24.95" customHeight="1" spans="1:8">
      <c r="A185" s="7" t="str">
        <f>"219120191016154504167076"</f>
        <v>219120191016154504167076</v>
      </c>
      <c r="B185" s="5">
        <v>182</v>
      </c>
      <c r="C185" s="5" t="str">
        <f>"黄国琴"</f>
        <v>黄国琴</v>
      </c>
      <c r="D185" s="5" t="str">
        <f>"513002199610059824"</f>
        <v>513002199610059824</v>
      </c>
      <c r="E185" s="5" t="str">
        <f>"海南省东方市东河镇"</f>
        <v>海南省东方市东河镇</v>
      </c>
      <c r="F185" s="5" t="str">
        <f>"海南省东方市广坝农场长岭七队"</f>
        <v>海南省东方市广坝农场长岭七队</v>
      </c>
      <c r="G185" s="5" t="s">
        <v>185</v>
      </c>
      <c r="H185" s="5" t="s">
        <v>7</v>
      </c>
    </row>
    <row r="186" ht="24.95" customHeight="1" spans="1:8">
      <c r="A186" s="7" t="str">
        <f>"219120191016164212167120"</f>
        <v>219120191016164212167120</v>
      </c>
      <c r="B186" s="5">
        <v>183</v>
      </c>
      <c r="C186" s="5" t="str">
        <f>"潘倩纱"</f>
        <v>潘倩纱</v>
      </c>
      <c r="D186" s="5" t="str">
        <f>"469027199207074483"</f>
        <v>469027199207074483</v>
      </c>
      <c r="E186" s="5" t="str">
        <f>"海南省乐东县利国镇"</f>
        <v>海南省乐东县利国镇</v>
      </c>
      <c r="F186" s="5" t="str">
        <f>"海口市金盘实验学校"</f>
        <v>海口市金盘实验学校</v>
      </c>
      <c r="G186" s="5" t="s">
        <v>186</v>
      </c>
      <c r="H186" s="5" t="s">
        <v>7</v>
      </c>
    </row>
    <row r="187" ht="24.95" customHeight="1" spans="1:8">
      <c r="A187" s="7" t="str">
        <f>"219120191016172132167154"</f>
        <v>219120191016172132167154</v>
      </c>
      <c r="B187" s="5">
        <v>184</v>
      </c>
      <c r="C187" s="5" t="str">
        <f>"蒙美姑"</f>
        <v>蒙美姑</v>
      </c>
      <c r="D187" s="5" t="str">
        <f>"460007199312137227"</f>
        <v>460007199312137227</v>
      </c>
      <c r="E187" s="5" t="str">
        <f>"海南省东方市三家镇"</f>
        <v>海南省东方市三家镇</v>
      </c>
      <c r="F187" s="5" t="str">
        <f>"海南省东方市三家镇酸梅村"</f>
        <v>海南省东方市三家镇酸梅村</v>
      </c>
      <c r="G187" s="5" t="s">
        <v>187</v>
      </c>
      <c r="H187" s="5" t="s">
        <v>7</v>
      </c>
    </row>
    <row r="188" ht="24.95" customHeight="1" spans="1:8">
      <c r="A188" s="7" t="str">
        <f>"219120191016213725167289"</f>
        <v>219120191016213725167289</v>
      </c>
      <c r="B188" s="5">
        <v>185</v>
      </c>
      <c r="C188" s="5" t="str">
        <f>"赵慧慧"</f>
        <v>赵慧慧</v>
      </c>
      <c r="D188" s="5" t="str">
        <f>"522732199510010086"</f>
        <v>522732199510010086</v>
      </c>
      <c r="E188" s="5" t="str">
        <f>"贵州省三都水族自治县"</f>
        <v>贵州省三都水族自治县</v>
      </c>
      <c r="F188" s="5" t="str">
        <f>"海南省海口市琼山区金花路一巷82—1号"</f>
        <v>海南省海口市琼山区金花路一巷82—1号</v>
      </c>
      <c r="G188" s="5" t="s">
        <v>188</v>
      </c>
      <c r="H188" s="5" t="s">
        <v>7</v>
      </c>
    </row>
    <row r="189" ht="24.95" customHeight="1" spans="1:8">
      <c r="A189" s="7" t="str">
        <f>"219120191016221146167307"</f>
        <v>219120191016221146167307</v>
      </c>
      <c r="B189" s="5">
        <v>186</v>
      </c>
      <c r="C189" s="5" t="str">
        <f>"王松兴"</f>
        <v>王松兴</v>
      </c>
      <c r="D189" s="5" t="str">
        <f>"460002199107275610"</f>
        <v>460002199107275610</v>
      </c>
      <c r="E189" s="5" t="str">
        <f>"海南省琼海市"</f>
        <v>海南省琼海市</v>
      </c>
      <c r="F189" s="5" t="str">
        <f>"海南省琼海市东太农场红河作业区五队"</f>
        <v>海南省琼海市东太农场红河作业区五队</v>
      </c>
      <c r="G189" s="5" t="s">
        <v>189</v>
      </c>
      <c r="H189" s="5" t="s">
        <v>7</v>
      </c>
    </row>
    <row r="190" ht="24.95" customHeight="1" spans="1:8">
      <c r="A190" s="7" t="str">
        <f>"219120191016223002167315"</f>
        <v>219120191016223002167315</v>
      </c>
      <c r="B190" s="5">
        <v>187</v>
      </c>
      <c r="C190" s="5" t="str">
        <f>"陈常娟"</f>
        <v>陈常娟</v>
      </c>
      <c r="D190" s="5" t="str">
        <f>"460033199507053923"</f>
        <v>460033199507053923</v>
      </c>
      <c r="E190" s="5" t="str">
        <f>"海南省乐东县佛罗镇"</f>
        <v>海南省乐东县佛罗镇</v>
      </c>
      <c r="F190" s="5" t="str">
        <f>"海南省海口市秀英区书场村胜宏公寓"</f>
        <v>海南省海口市秀英区书场村胜宏公寓</v>
      </c>
      <c r="G190" s="5" t="s">
        <v>190</v>
      </c>
      <c r="H190" s="5" t="s">
        <v>7</v>
      </c>
    </row>
    <row r="191" ht="24.95" customHeight="1" spans="1:8">
      <c r="A191" s="7" t="str">
        <f>"219120191016223731167320"</f>
        <v>219120191016223731167320</v>
      </c>
      <c r="B191" s="5">
        <v>188</v>
      </c>
      <c r="C191" s="5" t="str">
        <f>"周碟"</f>
        <v>周碟</v>
      </c>
      <c r="D191" s="5" t="str">
        <f>"460007199503047240"</f>
        <v>460007199503047240</v>
      </c>
      <c r="E191" s="5" t="str">
        <f>"海南省东方市"</f>
        <v>海南省东方市</v>
      </c>
      <c r="F191" s="5" t="str">
        <f>"海南省东方市八所镇惠民小区"</f>
        <v>海南省东方市八所镇惠民小区</v>
      </c>
      <c r="G191" s="5" t="s">
        <v>191</v>
      </c>
      <c r="H191" s="5" t="s">
        <v>7</v>
      </c>
    </row>
    <row r="192" ht="24.95" customHeight="1" spans="1:8">
      <c r="A192" s="7" t="str">
        <f>"219120191017091656167366"</f>
        <v>219120191017091656167366</v>
      </c>
      <c r="B192" s="5">
        <v>189</v>
      </c>
      <c r="C192" s="5" t="str">
        <f>"符珍妹"</f>
        <v>符珍妹</v>
      </c>
      <c r="D192" s="5" t="str">
        <f>"460028199005185220"</f>
        <v>460028199005185220</v>
      </c>
      <c r="E192" s="5" t="str">
        <f>"海南省临高县和舍镇"</f>
        <v>海南省临高县和舍镇</v>
      </c>
      <c r="F192" s="5" t="str">
        <f>"海南省三亚市河东路海南中学三亚学校"</f>
        <v>海南省三亚市河东路海南中学三亚学校</v>
      </c>
      <c r="G192" s="5" t="s">
        <v>192</v>
      </c>
      <c r="H192" s="5" t="s">
        <v>7</v>
      </c>
    </row>
    <row r="193" ht="24.95" customHeight="1" spans="1:8">
      <c r="A193" s="7" t="str">
        <f>"219120191017102848167404"</f>
        <v>219120191017102848167404</v>
      </c>
      <c r="B193" s="5">
        <v>190</v>
      </c>
      <c r="C193" s="5" t="str">
        <f>"谢小芸"</f>
        <v>谢小芸</v>
      </c>
      <c r="D193" s="5" t="str">
        <f>"460026199410280325"</f>
        <v>460026199410280325</v>
      </c>
      <c r="E193" s="5" t="str">
        <f>"海南省屯昌县"</f>
        <v>海南省屯昌县</v>
      </c>
      <c r="F193" s="5" t="str">
        <f>"海南省屯昌县光明洋上村"</f>
        <v>海南省屯昌县光明洋上村</v>
      </c>
      <c r="G193" s="5" t="s">
        <v>193</v>
      </c>
      <c r="H193" s="5" t="s">
        <v>7</v>
      </c>
    </row>
    <row r="194" ht="24.95" customHeight="1" spans="1:8">
      <c r="A194" s="7" t="str">
        <f>"219120191017105121167413"</f>
        <v>219120191017105121167413</v>
      </c>
      <c r="B194" s="5">
        <v>191</v>
      </c>
      <c r="C194" s="5" t="str">
        <f>"符艳梅"</f>
        <v>符艳梅</v>
      </c>
      <c r="D194" s="5" t="str">
        <f>"460007199710277225"</f>
        <v>460007199710277225</v>
      </c>
      <c r="E194" s="5" t="str">
        <f>"海南省东方市三家镇"</f>
        <v>海南省东方市三家镇</v>
      </c>
      <c r="F194" s="5" t="str">
        <f>"海南省东方市八所镇二环北路东七巷26号"</f>
        <v>海南省东方市八所镇二环北路东七巷26号</v>
      </c>
      <c r="G194" s="5" t="s">
        <v>194</v>
      </c>
      <c r="H194" s="5" t="s">
        <v>7</v>
      </c>
    </row>
    <row r="195" ht="24.95" customHeight="1" spans="1:8">
      <c r="A195" s="7" t="str">
        <f>"219120191017105849167422"</f>
        <v>219120191017105849167422</v>
      </c>
      <c r="B195" s="5">
        <v>192</v>
      </c>
      <c r="C195" s="5" t="str">
        <f>"陈绵南"</f>
        <v>陈绵南</v>
      </c>
      <c r="D195" s="5" t="str">
        <f>"469021199504203343"</f>
        <v>469021199504203343</v>
      </c>
      <c r="E195" s="5" t="str">
        <f>"海南省定安县龙河镇"</f>
        <v>海南省定安县龙河镇</v>
      </c>
      <c r="F195" s="5" t="str">
        <f>"海南省定安县龙河镇旧村村委会走塘园村"</f>
        <v>海南省定安县龙河镇旧村村委会走塘园村</v>
      </c>
      <c r="G195" s="5" t="s">
        <v>195</v>
      </c>
      <c r="H195" s="5" t="s">
        <v>7</v>
      </c>
    </row>
    <row r="196" ht="24.95" customHeight="1" spans="1:8">
      <c r="A196" s="7" t="str">
        <f>"219120191017111614167441"</f>
        <v>219120191017111614167441</v>
      </c>
      <c r="B196" s="5">
        <v>193</v>
      </c>
      <c r="C196" s="5" t="str">
        <f>"王雪"</f>
        <v>王雪</v>
      </c>
      <c r="D196" s="5" t="str">
        <f>"460027199108031324"</f>
        <v>460027199108031324</v>
      </c>
      <c r="E196" s="5" t="str">
        <f>"海南省澄迈县"</f>
        <v>海南省澄迈县</v>
      </c>
      <c r="F196" s="5" t="str">
        <f>"海南省海口市龙昆南路129号"</f>
        <v>海南省海口市龙昆南路129号</v>
      </c>
      <c r="G196" s="5" t="s">
        <v>196</v>
      </c>
      <c r="H196" s="5" t="s">
        <v>7</v>
      </c>
    </row>
    <row r="197" ht="24.95" customHeight="1" spans="1:8">
      <c r="A197" s="7" t="str">
        <f>"219120191017154228167545"</f>
        <v>219120191017154228167545</v>
      </c>
      <c r="B197" s="5">
        <v>194</v>
      </c>
      <c r="C197" s="5" t="str">
        <f>"兰丹利"</f>
        <v>兰丹利</v>
      </c>
      <c r="D197" s="5" t="str">
        <f>"460007199010125888"</f>
        <v>460007199010125888</v>
      </c>
      <c r="E197" s="5" t="str">
        <f>"海南省东方市感城镇"</f>
        <v>海南省东方市感城镇</v>
      </c>
      <c r="F197" s="5" t="str">
        <f>"海南省东方市感城镇陀烈村"</f>
        <v>海南省东方市感城镇陀烈村</v>
      </c>
      <c r="G197" s="5" t="s">
        <v>197</v>
      </c>
      <c r="H197" s="5" t="s">
        <v>7</v>
      </c>
    </row>
    <row r="198" ht="24.95" customHeight="1" spans="1:8">
      <c r="A198" s="7" t="str">
        <f>"219120191017155626167552"</f>
        <v>219120191017155626167552</v>
      </c>
      <c r="B198" s="5">
        <v>195</v>
      </c>
      <c r="C198" s="5" t="str">
        <f>"林卉丹"</f>
        <v>林卉丹</v>
      </c>
      <c r="D198" s="5" t="str">
        <f>"460028199611167620"</f>
        <v>460028199611167620</v>
      </c>
      <c r="E198" s="5" t="str">
        <f>"海南省临高县"</f>
        <v>海南省临高县</v>
      </c>
      <c r="F198" s="5" t="str">
        <f>"海南省临高县临城镇龙贯新村128号"</f>
        <v>海南省临高县临城镇龙贯新村128号</v>
      </c>
      <c r="G198" s="5" t="s">
        <v>198</v>
      </c>
      <c r="H198" s="5" t="s">
        <v>7</v>
      </c>
    </row>
    <row r="199" ht="24.95" customHeight="1" spans="1:8">
      <c r="A199" s="7" t="str">
        <f>"219120191017174541167606"</f>
        <v>219120191017174541167606</v>
      </c>
      <c r="B199" s="5">
        <v>196</v>
      </c>
      <c r="C199" s="5" t="str">
        <f>"吉才红"</f>
        <v>吉才红</v>
      </c>
      <c r="D199" s="5" t="str">
        <f>"460033199501194485"</f>
        <v>460033199501194485</v>
      </c>
      <c r="E199" s="5" t="str">
        <f>"海南省乐东县九所镇"</f>
        <v>海南省乐东县九所镇</v>
      </c>
      <c r="F199" s="5" t="str">
        <f>"海南省乐东县九所镇镜湖村"</f>
        <v>海南省乐东县九所镇镜湖村</v>
      </c>
      <c r="G199" s="5" t="s">
        <v>199</v>
      </c>
      <c r="H199" s="5" t="s">
        <v>7</v>
      </c>
    </row>
    <row r="200" ht="24.95" customHeight="1" spans="1:8">
      <c r="A200" s="7" t="str">
        <f>"219120191017201038167655"</f>
        <v>219120191017201038167655</v>
      </c>
      <c r="B200" s="5">
        <v>197</v>
      </c>
      <c r="C200" s="5" t="str">
        <f>"刘后鑫"</f>
        <v>刘后鑫</v>
      </c>
      <c r="D200" s="5" t="str">
        <f>"460033199204210370"</f>
        <v>460033199204210370</v>
      </c>
      <c r="E200" s="5" t="str">
        <f>"海南省乐东县"</f>
        <v>海南省乐东县</v>
      </c>
      <c r="F200" s="5" t="str">
        <f>"海南省乐东县乐中农场机关"</f>
        <v>海南省乐东县乐中农场机关</v>
      </c>
      <c r="G200" s="5" t="s">
        <v>200</v>
      </c>
      <c r="H200" s="5" t="s">
        <v>7</v>
      </c>
    </row>
    <row r="201" ht="24.95" customHeight="1" spans="1:8">
      <c r="A201" s="7" t="str">
        <f>"219120191017213121167696"</f>
        <v>219120191017213121167696</v>
      </c>
      <c r="B201" s="5">
        <v>198</v>
      </c>
      <c r="C201" s="5" t="str">
        <f>"白雪杨"</f>
        <v>白雪杨</v>
      </c>
      <c r="D201" s="5" t="str">
        <f>"410703198911202026"</f>
        <v>410703198911202026</v>
      </c>
      <c r="E201" s="5" t="str">
        <f>"海南省海口市美兰区"</f>
        <v>海南省海口市美兰区</v>
      </c>
      <c r="F201" s="5" t="str">
        <f>"海南省海口市美兰区海南大学"</f>
        <v>海南省海口市美兰区海南大学</v>
      </c>
      <c r="G201" s="5" t="s">
        <v>201</v>
      </c>
      <c r="H201" s="5" t="s">
        <v>7</v>
      </c>
    </row>
    <row r="202" ht="24.95" customHeight="1" spans="1:8">
      <c r="A202" s="7" t="str">
        <f>"219120191017234352167742"</f>
        <v>219120191017234352167742</v>
      </c>
      <c r="B202" s="5">
        <v>199</v>
      </c>
      <c r="C202" s="5" t="str">
        <f>"许毅光"</f>
        <v>许毅光</v>
      </c>
      <c r="D202" s="5" t="str">
        <f>"460003199606254618"</f>
        <v>460003199606254618</v>
      </c>
      <c r="E202" s="5" t="str">
        <f>"海南省儋州市白马井镇"</f>
        <v>海南省儋州市白马井镇</v>
      </c>
      <c r="F202" s="5" t="str">
        <f>"儋州市白马井镇东方一巷"</f>
        <v>儋州市白马井镇东方一巷</v>
      </c>
      <c r="G202" s="5" t="s">
        <v>202</v>
      </c>
      <c r="H202" s="5" t="s">
        <v>7</v>
      </c>
    </row>
    <row r="203" ht="24.95" customHeight="1" spans="1:8">
      <c r="A203" s="7" t="str">
        <f>"219120191018084252167762"</f>
        <v>219120191018084252167762</v>
      </c>
      <c r="B203" s="5">
        <v>200</v>
      </c>
      <c r="C203" s="5" t="str">
        <f>"邓雪映"</f>
        <v>邓雪映</v>
      </c>
      <c r="D203" s="5" t="str">
        <f>"460200199610284707"</f>
        <v>460200199610284707</v>
      </c>
      <c r="E203" s="5" t="str">
        <f>"海南省三亚市崖州区"</f>
        <v>海南省三亚市崖州区</v>
      </c>
      <c r="F203" s="5" t="str">
        <f>"海南省三亚市崖州区东京社区居委会东京社区45号"</f>
        <v>海南省三亚市崖州区东京社区居委会东京社区45号</v>
      </c>
      <c r="G203" s="5" t="s">
        <v>203</v>
      </c>
      <c r="H203" s="5" t="s">
        <v>7</v>
      </c>
    </row>
    <row r="204" ht="24.95" customHeight="1" spans="1:8">
      <c r="A204" s="7" t="str">
        <f>"219120191018090505167774"</f>
        <v>219120191018090505167774</v>
      </c>
      <c r="B204" s="5">
        <v>201</v>
      </c>
      <c r="C204" s="5" t="str">
        <f>"苏少兰"</f>
        <v>苏少兰</v>
      </c>
      <c r="D204" s="5" t="str">
        <f>"460028199302032423"</f>
        <v>460028199302032423</v>
      </c>
      <c r="E204" s="5" t="str">
        <f>"海南省临高县博厚镇"</f>
        <v>海南省临高县博厚镇</v>
      </c>
      <c r="F204" s="5" t="str">
        <f>"海南省临高县博厚镇红牌村委会邦乐村"</f>
        <v>海南省临高县博厚镇红牌村委会邦乐村</v>
      </c>
      <c r="G204" s="5" t="s">
        <v>204</v>
      </c>
      <c r="H204" s="5" t="s">
        <v>7</v>
      </c>
    </row>
    <row r="205" ht="24.95" customHeight="1" spans="1:8">
      <c r="A205" s="7" t="str">
        <f>"219120191018093007167788"</f>
        <v>219120191018093007167788</v>
      </c>
      <c r="B205" s="5">
        <v>202</v>
      </c>
      <c r="C205" s="5" t="str">
        <f>"吉家娟"</f>
        <v>吉家娟</v>
      </c>
      <c r="D205" s="5" t="str">
        <f>"460007199606204368"</f>
        <v>460007199606204368</v>
      </c>
      <c r="E205" s="5" t="str">
        <f>"海南省东方市"</f>
        <v>海南省东方市</v>
      </c>
      <c r="F205" s="5" t="str">
        <f>"海南省东方市八所镇玉章村"</f>
        <v>海南省东方市八所镇玉章村</v>
      </c>
      <c r="G205" s="5" t="s">
        <v>205</v>
      </c>
      <c r="H205" s="5" t="s">
        <v>7</v>
      </c>
    </row>
    <row r="206" ht="24.95" customHeight="1" spans="1:8">
      <c r="A206" s="7" t="str">
        <f>"219120191018094922167801"</f>
        <v>219120191018094922167801</v>
      </c>
      <c r="B206" s="5">
        <v>203</v>
      </c>
      <c r="C206" s="5" t="str">
        <f>"赵开均"</f>
        <v>赵开均</v>
      </c>
      <c r="D206" s="5" t="str">
        <f>"469007199504297223"</f>
        <v>469007199504297223</v>
      </c>
      <c r="E206" s="5" t="str">
        <f>"海南省东方市三家镇"</f>
        <v>海南省东方市三家镇</v>
      </c>
      <c r="F206" s="5" t="str">
        <f>"海南省东方市三家镇玉雄村"</f>
        <v>海南省东方市三家镇玉雄村</v>
      </c>
      <c r="G206" s="5" t="s">
        <v>206</v>
      </c>
      <c r="H206" s="5" t="s">
        <v>7</v>
      </c>
    </row>
    <row r="207" ht="24.95" customHeight="1" spans="1:8">
      <c r="A207" s="7" t="str">
        <f>"219120191018104701167834"</f>
        <v>219120191018104701167834</v>
      </c>
      <c r="B207" s="5">
        <v>204</v>
      </c>
      <c r="C207" s="5" t="str">
        <f>"吕晓珊"</f>
        <v>吕晓珊</v>
      </c>
      <c r="D207" s="5" t="str">
        <f>"460033199610187188"</f>
        <v>460033199610187188</v>
      </c>
      <c r="E207" s="5" t="str">
        <f>"海南省乐东黎族自治县大安镇"</f>
        <v>海南省乐东黎族自治县大安镇</v>
      </c>
      <c r="F207" s="5" t="str">
        <f>"海南省乐东黎族自治县大安镇只纳村6队"</f>
        <v>海南省乐东黎族自治县大安镇只纳村6队</v>
      </c>
      <c r="G207" s="5" t="s">
        <v>207</v>
      </c>
      <c r="H207" s="5" t="s">
        <v>7</v>
      </c>
    </row>
    <row r="208" ht="24.95" customHeight="1" spans="1:8">
      <c r="A208" s="7" t="str">
        <f>"219120191018124729167899"</f>
        <v>219120191018124729167899</v>
      </c>
      <c r="B208" s="5">
        <v>205</v>
      </c>
      <c r="C208" s="5" t="str">
        <f>"张名娟"</f>
        <v>张名娟</v>
      </c>
      <c r="D208" s="5" t="str">
        <f>"460007199209020020"</f>
        <v>460007199209020020</v>
      </c>
      <c r="E208" s="5" t="str">
        <f>"海南省东方市"</f>
        <v>海南省东方市</v>
      </c>
      <c r="F208" s="5" t="str">
        <f>"海口市美舍路16号"</f>
        <v>海口市美舍路16号</v>
      </c>
      <c r="G208" s="5" t="s">
        <v>208</v>
      </c>
      <c r="H208" s="5" t="s">
        <v>7</v>
      </c>
    </row>
    <row r="209" ht="24.95" customHeight="1" spans="1:8">
      <c r="A209" s="7" t="str">
        <f>"219120191018181108168021"</f>
        <v>219120191018181108168021</v>
      </c>
      <c r="B209" s="5">
        <v>206</v>
      </c>
      <c r="C209" s="5" t="str">
        <f>"王卫玲"</f>
        <v>王卫玲</v>
      </c>
      <c r="D209" s="5" t="str">
        <f>"460003199505062107"</f>
        <v>460003199505062107</v>
      </c>
      <c r="E209" s="5" t="str">
        <f>"海南省儋州市东成镇"</f>
        <v>海南省儋州市东成镇</v>
      </c>
      <c r="F209" s="5" t="str">
        <f>"海南省儋州市东成镇粮所路"</f>
        <v>海南省儋州市东成镇粮所路</v>
      </c>
      <c r="G209" s="5" t="s">
        <v>209</v>
      </c>
      <c r="H209" s="5" t="s">
        <v>7</v>
      </c>
    </row>
    <row r="210" ht="24.95" customHeight="1" spans="1:8">
      <c r="A210" s="7" t="str">
        <f>"219120191018220816168073"</f>
        <v>219120191018220816168073</v>
      </c>
      <c r="B210" s="5">
        <v>207</v>
      </c>
      <c r="C210" s="5" t="str">
        <f>"麦春晓"</f>
        <v>麦春晓</v>
      </c>
      <c r="D210" s="5" t="str">
        <f>"460007199504052084"</f>
        <v>460007199504052084</v>
      </c>
      <c r="E210" s="5" t="str">
        <f>"海南省东方市八所镇"</f>
        <v>海南省东方市八所镇</v>
      </c>
      <c r="F210" s="5" t="str">
        <f>"东方市卫生小区"</f>
        <v>东方市卫生小区</v>
      </c>
      <c r="G210" s="5" t="s">
        <v>210</v>
      </c>
      <c r="H210" s="5" t="s">
        <v>7</v>
      </c>
    </row>
    <row r="211" ht="24.95" customHeight="1" spans="1:8">
      <c r="A211" s="7" t="str">
        <f>"219120191019084745168108"</f>
        <v>219120191019084745168108</v>
      </c>
      <c r="B211" s="5">
        <v>208</v>
      </c>
      <c r="C211" s="5" t="str">
        <f>"钟儒生"</f>
        <v>钟儒生</v>
      </c>
      <c r="D211" s="5" t="str">
        <f>"460003199402024618"</f>
        <v>460003199402024618</v>
      </c>
      <c r="E211" s="5" t="str">
        <f>"海南省儋州市白马井镇"</f>
        <v>海南省儋州市白马井镇</v>
      </c>
      <c r="F211" s="5" t="str">
        <f>"海南省儋州市白马井镇禾能村"</f>
        <v>海南省儋州市白马井镇禾能村</v>
      </c>
      <c r="G211" s="5" t="s">
        <v>202</v>
      </c>
      <c r="H211" s="5" t="s">
        <v>7</v>
      </c>
    </row>
    <row r="212" ht="24.95" customHeight="1" spans="1:8">
      <c r="A212" s="7" t="str">
        <f>"219120191019154224168214"</f>
        <v>219120191019154224168214</v>
      </c>
      <c r="B212" s="5">
        <v>209</v>
      </c>
      <c r="C212" s="5" t="str">
        <f>"王琦"</f>
        <v>王琦</v>
      </c>
      <c r="D212" s="5" t="str">
        <f>"460033199010274501"</f>
        <v>460033199010274501</v>
      </c>
      <c r="E212" s="5" t="str">
        <f>"海南省乐东县利国镇"</f>
        <v>海南省乐东县利国镇</v>
      </c>
      <c r="F212" s="5" t="str">
        <f>"海南省乐东县利国镇抱岁村第九小队29号"</f>
        <v>海南省乐东县利国镇抱岁村第九小队29号</v>
      </c>
      <c r="G212" s="5" t="s">
        <v>211</v>
      </c>
      <c r="H212" s="5" t="s">
        <v>7</v>
      </c>
    </row>
    <row r="213" ht="24.95" customHeight="1" spans="1:8">
      <c r="A213" s="7" t="str">
        <f>"219120191019182548168255"</f>
        <v>219120191019182548168255</v>
      </c>
      <c r="B213" s="5">
        <v>210</v>
      </c>
      <c r="C213" s="5" t="str">
        <f>"黄小燕"</f>
        <v>黄小燕</v>
      </c>
      <c r="D213" s="5" t="str">
        <f>"469023199609052628"</f>
        <v>469023199609052628</v>
      </c>
      <c r="E213" s="5" t="str">
        <f>"海南省澄迈县文儒镇"</f>
        <v>海南省澄迈县文儒镇</v>
      </c>
      <c r="F213" s="5" t="str">
        <f>"海南省澄迈县金江镇村尾村"</f>
        <v>海南省澄迈县金江镇村尾村</v>
      </c>
      <c r="G213" s="5" t="s">
        <v>212</v>
      </c>
      <c r="H213" s="5" t="s">
        <v>7</v>
      </c>
    </row>
    <row r="214" ht="24.95" customHeight="1" spans="1:8">
      <c r="A214" s="7" t="str">
        <f>"219120191019195930168270"</f>
        <v>219120191019195930168270</v>
      </c>
      <c r="B214" s="5">
        <v>211</v>
      </c>
      <c r="C214" s="5" t="str">
        <f>"苏丽"</f>
        <v>苏丽</v>
      </c>
      <c r="D214" s="5" t="str">
        <f>"460006199104204062"</f>
        <v>460006199104204062</v>
      </c>
      <c r="E214" s="5" t="str">
        <f>"海南省万宁市万城镇"</f>
        <v>海南省万宁市万城镇</v>
      </c>
      <c r="F214" s="5" t="str">
        <f>"海口市美兰区青年路下贤二村155号"</f>
        <v>海口市美兰区青年路下贤二村155号</v>
      </c>
      <c r="G214" s="5" t="s">
        <v>213</v>
      </c>
      <c r="H214" s="5" t="s">
        <v>7</v>
      </c>
    </row>
    <row r="215" ht="24.95" customHeight="1" spans="1:8">
      <c r="A215" s="7" t="str">
        <f>"219120191020070441168319"</f>
        <v>219120191020070441168319</v>
      </c>
      <c r="B215" s="5">
        <v>212</v>
      </c>
      <c r="C215" s="5" t="str">
        <f>"王雅婷"</f>
        <v>王雅婷</v>
      </c>
      <c r="D215" s="5" t="str">
        <f>"460004199609213666"</f>
        <v>460004199609213666</v>
      </c>
      <c r="E215" s="5" t="str">
        <f>"海南省海口市龙华区龙泉镇"</f>
        <v>海南省海口市龙华区龙泉镇</v>
      </c>
      <c r="F215" s="5" t="str">
        <f>"海南省海口市龙华区龙泉镇道斐村24号"</f>
        <v>海南省海口市龙华区龙泉镇道斐村24号</v>
      </c>
      <c r="G215" s="5" t="s">
        <v>214</v>
      </c>
      <c r="H215" s="5" t="s">
        <v>7</v>
      </c>
    </row>
    <row r="216" ht="24.95" customHeight="1" spans="1:8">
      <c r="A216" s="7" t="str">
        <f>"219120191020093853168350"</f>
        <v>219120191020093853168350</v>
      </c>
      <c r="B216" s="5">
        <v>213</v>
      </c>
      <c r="C216" s="5" t="str">
        <f>"卢国金"</f>
        <v>卢国金</v>
      </c>
      <c r="D216" s="5" t="str">
        <f>"460033199203094478"</f>
        <v>460033199203094478</v>
      </c>
      <c r="E216" s="5" t="str">
        <f>"海南省乐东县利国镇新联村"</f>
        <v>海南省乐东县利国镇新联村</v>
      </c>
      <c r="F216" s="5" t="str">
        <f>"海南省乐东县利国镇新联村"</f>
        <v>海南省乐东县利国镇新联村</v>
      </c>
      <c r="G216" s="5" t="s">
        <v>215</v>
      </c>
      <c r="H216" s="5" t="s">
        <v>7</v>
      </c>
    </row>
    <row r="217" ht="24.95" customHeight="1" spans="1:8">
      <c r="A217" s="7" t="str">
        <f>"219120191020104726168373"</f>
        <v>219120191020104726168373</v>
      </c>
      <c r="B217" s="5">
        <v>214</v>
      </c>
      <c r="C217" s="5" t="str">
        <f>"张华"</f>
        <v>张华</v>
      </c>
      <c r="D217" s="5" t="str">
        <f>"460027199708186223"</f>
        <v>460027199708186223</v>
      </c>
      <c r="E217" s="5" t="str">
        <f>"海南省澄迈县红光农场第八作业区红艳队0-6号"</f>
        <v>海南省澄迈县红光农场第八作业区红艳队0-6号</v>
      </c>
      <c r="F217" s="5" t="str">
        <f>"海南省澄迈县金江镇向阳小区3幢二单元"</f>
        <v>海南省澄迈县金江镇向阳小区3幢二单元</v>
      </c>
      <c r="G217" s="5" t="s">
        <v>216</v>
      </c>
      <c r="H217" s="5" t="s">
        <v>7</v>
      </c>
    </row>
    <row r="218" ht="24.95" customHeight="1" spans="1:8">
      <c r="A218" s="7" t="str">
        <f>"219120191020131118168409"</f>
        <v>219120191020131118168409</v>
      </c>
      <c r="B218" s="5">
        <v>215</v>
      </c>
      <c r="C218" s="5" t="str">
        <f>"周晶晶"</f>
        <v>周晶晶</v>
      </c>
      <c r="D218" s="5" t="str">
        <f>"460028199604180042"</f>
        <v>460028199604180042</v>
      </c>
      <c r="E218" s="5" t="str">
        <f>"海南省临高县"</f>
        <v>海南省临高县</v>
      </c>
      <c r="F218" s="5" t="str">
        <f>"海南省临高县临城镇平安巷19号"</f>
        <v>海南省临高县临城镇平安巷19号</v>
      </c>
      <c r="G218" s="5" t="s">
        <v>217</v>
      </c>
      <c r="H218" s="5" t="s">
        <v>7</v>
      </c>
    </row>
    <row r="219" ht="24.95" customHeight="1" spans="1:8">
      <c r="A219" s="7" t="str">
        <f>"219120191020153303168459"</f>
        <v>219120191020153303168459</v>
      </c>
      <c r="B219" s="5">
        <v>216</v>
      </c>
      <c r="C219" s="5" t="str">
        <f>"钟英"</f>
        <v>钟英</v>
      </c>
      <c r="D219" s="5" t="str">
        <f>"460026199202043069"</f>
        <v>460026199202043069</v>
      </c>
      <c r="E219" s="5" t="str">
        <f>"海南省屯昌县南坤镇"</f>
        <v>海南省屯昌县南坤镇</v>
      </c>
      <c r="F219" s="5" t="str">
        <f>"海南省海口市秀英区西秀镇长滨六路西一街海口市五源河学校"</f>
        <v>海南省海口市秀英区西秀镇长滨六路西一街海口市五源河学校</v>
      </c>
      <c r="G219" s="5" t="s">
        <v>218</v>
      </c>
      <c r="H219" s="5" t="s">
        <v>7</v>
      </c>
    </row>
    <row r="220" ht="24.95" customHeight="1" spans="1:8">
      <c r="A220" s="7" t="str">
        <f>"219120191014094743165406"</f>
        <v>219120191014094743165406</v>
      </c>
      <c r="B220" s="5">
        <v>217</v>
      </c>
      <c r="C220" s="5" t="str">
        <f>"李源骈"</f>
        <v>李源骈</v>
      </c>
      <c r="D220" s="5" t="str">
        <f>"460006199401095237"</f>
        <v>460006199401095237</v>
      </c>
      <c r="E220" s="5" t="str">
        <f>"海南万宁"</f>
        <v>海南万宁</v>
      </c>
      <c r="F220" s="5" t="str">
        <f>"海南省万宁市长丰镇黄山村委会"</f>
        <v>海南省万宁市长丰镇黄山村委会</v>
      </c>
      <c r="G220" s="5" t="s">
        <v>219</v>
      </c>
      <c r="H220" s="5" t="s">
        <v>7</v>
      </c>
    </row>
    <row r="221" ht="24.95" customHeight="1" spans="1:8">
      <c r="A221" s="7" t="str">
        <f>"219120191014094922165408"</f>
        <v>219120191014094922165408</v>
      </c>
      <c r="B221" s="5">
        <v>218</v>
      </c>
      <c r="C221" s="5" t="str">
        <f>"陈奕丞"</f>
        <v>陈奕丞</v>
      </c>
      <c r="D221" s="5" t="str">
        <f>"460027199605033718"</f>
        <v>460027199605033718</v>
      </c>
      <c r="E221" s="5" t="str">
        <f>"海南省澄迈县永发镇永发派出所"</f>
        <v>海南省澄迈县永发镇永发派出所</v>
      </c>
      <c r="F221" s="5" t="str">
        <f>"海南省澄迈县永发镇江北路永发中学"</f>
        <v>海南省澄迈县永发镇江北路永发中学</v>
      </c>
      <c r="G221" s="5" t="s">
        <v>220</v>
      </c>
      <c r="H221" s="5" t="s">
        <v>7</v>
      </c>
    </row>
    <row r="222" ht="24.95" customHeight="1" spans="1:8">
      <c r="A222" s="7" t="str">
        <f>"219120191014105343165515"</f>
        <v>219120191014105343165515</v>
      </c>
      <c r="B222" s="5">
        <v>219</v>
      </c>
      <c r="C222" s="5" t="str">
        <f>"吴昊"</f>
        <v>吴昊</v>
      </c>
      <c r="D222" s="5" t="str">
        <f>"46000119940809071X"</f>
        <v>46000119940809071X</v>
      </c>
      <c r="E222" s="5" t="str">
        <f>"海南省五指山市"</f>
        <v>海南省五指山市</v>
      </c>
      <c r="F222" s="5" t="str">
        <f>"海南省五指山市教师村"</f>
        <v>海南省五指山市教师村</v>
      </c>
      <c r="G222" s="5" t="s">
        <v>221</v>
      </c>
      <c r="H222" s="5" t="s">
        <v>7</v>
      </c>
    </row>
    <row r="223" ht="24.95" customHeight="1" spans="1:8">
      <c r="A223" s="7" t="str">
        <f>"219120191014120024165581"</f>
        <v>219120191014120024165581</v>
      </c>
      <c r="B223" s="5">
        <v>220</v>
      </c>
      <c r="C223" s="5" t="str">
        <f>"王欢"</f>
        <v>王欢</v>
      </c>
      <c r="D223" s="5" t="str">
        <f>"460030199309251217"</f>
        <v>460030199309251217</v>
      </c>
      <c r="E223" s="5" t="str">
        <f>"海南省白沙县"</f>
        <v>海南省白沙县</v>
      </c>
      <c r="F223" s="5" t="str">
        <f>"海南省白沙县细水乡坡生村"</f>
        <v>海南省白沙县细水乡坡生村</v>
      </c>
      <c r="G223" s="5" t="s">
        <v>222</v>
      </c>
      <c r="H223" s="5" t="s">
        <v>7</v>
      </c>
    </row>
    <row r="224" ht="24.95" customHeight="1" spans="1:8">
      <c r="A224" s="7" t="str">
        <f>"219120191014121512165588"</f>
        <v>219120191014121512165588</v>
      </c>
      <c r="B224" s="5">
        <v>221</v>
      </c>
      <c r="C224" s="5" t="str">
        <f>"卢振忠"</f>
        <v>卢振忠</v>
      </c>
      <c r="D224" s="5" t="str">
        <f>"460031199310014450"</f>
        <v>460031199310014450</v>
      </c>
      <c r="E224" s="5" t="str">
        <f>"海南省昌江县十月田镇"</f>
        <v>海南省昌江县十月田镇</v>
      </c>
      <c r="F224" s="5" t="str">
        <f>"海南省昌江县十月田镇万善村"</f>
        <v>海南省昌江县十月田镇万善村</v>
      </c>
      <c r="G224" s="5" t="s">
        <v>223</v>
      </c>
      <c r="H224" s="5" t="s">
        <v>7</v>
      </c>
    </row>
    <row r="225" ht="24.95" customHeight="1" spans="1:8">
      <c r="A225" s="7" t="str">
        <f>"219120191014123303165602"</f>
        <v>219120191014123303165602</v>
      </c>
      <c r="B225" s="5">
        <v>222</v>
      </c>
      <c r="C225" s="5" t="str">
        <f>"刘才金"</f>
        <v>刘才金</v>
      </c>
      <c r="D225" s="5" t="str">
        <f>"360732199410093310"</f>
        <v>360732199410093310</v>
      </c>
      <c r="E225" s="5" t="str">
        <f>"江西省赣州市兴国县永丰乡洙坊村"</f>
        <v>江西省赣州市兴国县永丰乡洙坊村</v>
      </c>
      <c r="F225" s="5" t="str">
        <f>"湖北省武汉市洪山区华中师范大学体育学院"</f>
        <v>湖北省武汉市洪山区华中师范大学体育学院</v>
      </c>
      <c r="G225" s="5" t="s">
        <v>224</v>
      </c>
      <c r="H225" s="5" t="s">
        <v>7</v>
      </c>
    </row>
    <row r="226" ht="24.95" customHeight="1" spans="1:8">
      <c r="A226" s="7" t="str">
        <f>"219120191014140758165665"</f>
        <v>219120191014140758165665</v>
      </c>
      <c r="B226" s="5">
        <v>223</v>
      </c>
      <c r="C226" s="5" t="str">
        <f>"伍元章"</f>
        <v>伍元章</v>
      </c>
      <c r="D226" s="5" t="str">
        <f>"460006199505262714"</f>
        <v>460006199505262714</v>
      </c>
      <c r="E226" s="5" t="str">
        <f>"海南省万宁市大茂镇"</f>
        <v>海南省万宁市大茂镇</v>
      </c>
      <c r="F226" s="5" t="str">
        <f>"海南省万宁市大茂镇袁水村委会上伍村"</f>
        <v>海南省万宁市大茂镇袁水村委会上伍村</v>
      </c>
      <c r="G226" s="5" t="s">
        <v>225</v>
      </c>
      <c r="H226" s="5" t="s">
        <v>7</v>
      </c>
    </row>
    <row r="227" ht="24.95" customHeight="1" spans="1:8">
      <c r="A227" s="7" t="str">
        <f>"219120191014191635165925"</f>
        <v>219120191014191635165925</v>
      </c>
      <c r="B227" s="5">
        <v>224</v>
      </c>
      <c r="C227" s="5" t="str">
        <f>"王顾霖"</f>
        <v>王顾霖</v>
      </c>
      <c r="D227" s="5" t="str">
        <f>"460033199501100012"</f>
        <v>460033199501100012</v>
      </c>
      <c r="E227" s="5" t="str">
        <f>"海南省乐东县"</f>
        <v>海南省乐东县</v>
      </c>
      <c r="F227" s="5" t="str">
        <f>"海南省乐东县抱由镇政府大院"</f>
        <v>海南省乐东县抱由镇政府大院</v>
      </c>
      <c r="G227" s="5" t="s">
        <v>226</v>
      </c>
      <c r="H227" s="5" t="s">
        <v>7</v>
      </c>
    </row>
    <row r="228" ht="24.95" customHeight="1" spans="1:8">
      <c r="A228" s="7" t="str">
        <f>"219120191014195716165946"</f>
        <v>219120191014195716165946</v>
      </c>
      <c r="B228" s="5">
        <v>225</v>
      </c>
      <c r="C228" s="5" t="str">
        <f>"林书斌"</f>
        <v>林书斌</v>
      </c>
      <c r="D228" s="5" t="str">
        <f>"460034199404102119"</f>
        <v>460034199404102119</v>
      </c>
      <c r="E228" s="5" t="str">
        <f>"海南省陵水黎族自治县英州镇"</f>
        <v>海南省陵水黎族自治县英州镇</v>
      </c>
      <c r="F228" s="5" t="str">
        <f>"海南省陵水黎族自治县英州镇深田村"</f>
        <v>海南省陵水黎族自治县英州镇深田村</v>
      </c>
      <c r="G228" s="5" t="s">
        <v>227</v>
      </c>
      <c r="H228" s="5" t="s">
        <v>7</v>
      </c>
    </row>
    <row r="229" ht="24.95" customHeight="1" spans="1:8">
      <c r="A229" s="7" t="str">
        <f>"219120191014201452165960"</f>
        <v>219120191014201452165960</v>
      </c>
      <c r="B229" s="5">
        <v>226</v>
      </c>
      <c r="C229" s="5" t="str">
        <f>"陈曹阳"</f>
        <v>陈曹阳</v>
      </c>
      <c r="D229" s="5" t="str">
        <f>"460001199606151018"</f>
        <v>460001199606151018</v>
      </c>
      <c r="E229" s="5" t="str">
        <f>"海南省五指山市河北派出所"</f>
        <v>海南省五指山市河北派出所</v>
      </c>
      <c r="F229" s="5" t="str">
        <f>"海南省五指山市教师村11栋201房"</f>
        <v>海南省五指山市教师村11栋201房</v>
      </c>
      <c r="G229" s="5" t="s">
        <v>228</v>
      </c>
      <c r="H229" s="5" t="s">
        <v>7</v>
      </c>
    </row>
    <row r="230" ht="24.95" customHeight="1" spans="1:8">
      <c r="A230" s="7" t="str">
        <f>"219120191015104507166271"</f>
        <v>219120191015104507166271</v>
      </c>
      <c r="B230" s="5">
        <v>227</v>
      </c>
      <c r="C230" s="5" t="str">
        <f>"黄朝德"</f>
        <v>黄朝德</v>
      </c>
      <c r="D230" s="5" t="str">
        <f>"460035199111092312"</f>
        <v>460035199111092312</v>
      </c>
      <c r="E230" s="5" t="str">
        <f>"海南省保亭县三道镇"</f>
        <v>海南省保亭县三道镇</v>
      </c>
      <c r="F230" s="5" t="str">
        <f>"海南省保亭县三道镇"</f>
        <v>海南省保亭县三道镇</v>
      </c>
      <c r="G230" s="5" t="s">
        <v>229</v>
      </c>
      <c r="H230" s="5" t="s">
        <v>7</v>
      </c>
    </row>
    <row r="231" ht="24.95" customHeight="1" spans="1:8">
      <c r="A231" s="7" t="str">
        <f>"219120191015110648166291"</f>
        <v>219120191015110648166291</v>
      </c>
      <c r="B231" s="5">
        <v>228</v>
      </c>
      <c r="C231" s="5" t="str">
        <f>"王弗君"</f>
        <v>王弗君</v>
      </c>
      <c r="D231" s="5" t="str">
        <f>"46002619950808391X"</f>
        <v>46002619950808391X</v>
      </c>
      <c r="E231" s="5" t="str">
        <f>"海南省屯昌县西昌镇"</f>
        <v>海南省屯昌县西昌镇</v>
      </c>
      <c r="F231" s="5" t="str">
        <f>"海南省屯昌县国营晨星农场永忠社区十八队80号"</f>
        <v>海南省屯昌县国营晨星农场永忠社区十八队80号</v>
      </c>
      <c r="G231" s="5" t="s">
        <v>230</v>
      </c>
      <c r="H231" s="5" t="s">
        <v>7</v>
      </c>
    </row>
    <row r="232" ht="24.95" customHeight="1" spans="1:8">
      <c r="A232" s="7" t="str">
        <f>"219120191015135815166424"</f>
        <v>219120191015135815166424</v>
      </c>
      <c r="B232" s="5">
        <v>229</v>
      </c>
      <c r="C232" s="5" t="str">
        <f>"唐明翔"</f>
        <v>唐明翔</v>
      </c>
      <c r="D232" s="5" t="str">
        <f>"460001199501200012"</f>
        <v>460001199501200012</v>
      </c>
      <c r="E232" s="5" t="str">
        <f>"海南五指山市"</f>
        <v>海南五指山市</v>
      </c>
      <c r="F232" s="5" t="str">
        <f>"海南省五指山市畅好农场机务队"</f>
        <v>海南省五指山市畅好农场机务队</v>
      </c>
      <c r="G232" s="5" t="s">
        <v>231</v>
      </c>
      <c r="H232" s="5" t="s">
        <v>7</v>
      </c>
    </row>
    <row r="233" ht="24.95" customHeight="1" spans="1:8">
      <c r="A233" s="7" t="str">
        <f>"219120191015153834166491"</f>
        <v>219120191015153834166491</v>
      </c>
      <c r="B233" s="5">
        <v>230</v>
      </c>
      <c r="C233" s="5" t="str">
        <f>"覃鸿发"</f>
        <v>覃鸿发</v>
      </c>
      <c r="D233" s="5" t="str">
        <f>"469003199503060915"</f>
        <v>469003199503060915</v>
      </c>
      <c r="E233" s="5" t="str">
        <f>"海南省儋州市那大镇"</f>
        <v>海南省儋州市那大镇</v>
      </c>
      <c r="F233" s="5" t="str">
        <f>"海南省儋州市那大镇侨植农场三队06号"</f>
        <v>海南省儋州市那大镇侨植农场三队06号</v>
      </c>
      <c r="G233" s="5" t="s">
        <v>232</v>
      </c>
      <c r="H233" s="5" t="s">
        <v>7</v>
      </c>
    </row>
    <row r="234" ht="24.95" customHeight="1" spans="1:8">
      <c r="A234" s="7" t="str">
        <f>"219120191015221707166753"</f>
        <v>219120191015221707166753</v>
      </c>
      <c r="B234" s="5">
        <v>231</v>
      </c>
      <c r="C234" s="5" t="str">
        <f>"孙振烘"</f>
        <v>孙振烘</v>
      </c>
      <c r="D234" s="5" t="str">
        <f>"460033199611240016"</f>
        <v>460033199611240016</v>
      </c>
      <c r="E234" s="5" t="str">
        <f>"海南省乐东黎族自治县抱由镇"</f>
        <v>海南省乐东黎族自治县抱由镇</v>
      </c>
      <c r="F234" s="5" t="str">
        <f>"海南省乐东黎族自治县抱由镇乐东中学21栋204"</f>
        <v>海南省乐东黎族自治县抱由镇乐东中学21栋204</v>
      </c>
      <c r="G234" s="5" t="s">
        <v>233</v>
      </c>
      <c r="H234" s="5" t="s">
        <v>7</v>
      </c>
    </row>
    <row r="235" ht="24.95" customHeight="1" spans="1:8">
      <c r="A235" s="7" t="str">
        <f>"219120191016084119166812"</f>
        <v>219120191016084119166812</v>
      </c>
      <c r="B235" s="5">
        <v>232</v>
      </c>
      <c r="C235" s="5" t="str">
        <f>"李南健"</f>
        <v>李南健</v>
      </c>
      <c r="D235" s="5" t="str">
        <f>"460034199609291515"</f>
        <v>460034199609291515</v>
      </c>
      <c r="E235" s="5" t="str">
        <f>"海南省陵水县"</f>
        <v>海南省陵水县</v>
      </c>
      <c r="F235" s="5" t="str">
        <f>"桂林洋中学"</f>
        <v>桂林洋中学</v>
      </c>
      <c r="G235" s="5" t="s">
        <v>234</v>
      </c>
      <c r="H235" s="5" t="s">
        <v>7</v>
      </c>
    </row>
    <row r="236" ht="24.95" customHeight="1" spans="1:8">
      <c r="A236" s="7" t="str">
        <f>"219120191016112459166936"</f>
        <v>219120191016112459166936</v>
      </c>
      <c r="B236" s="5">
        <v>233</v>
      </c>
      <c r="C236" s="5" t="str">
        <f>"林明旭"</f>
        <v>林明旭</v>
      </c>
      <c r="D236" s="5" t="str">
        <f>"460001199005100733"</f>
        <v>460001199005100733</v>
      </c>
      <c r="E236" s="5" t="str">
        <f>"海南省五指山市"</f>
        <v>海南省五指山市</v>
      </c>
      <c r="F236" s="5" t="str">
        <f>"海南省五指山市锦绣花园"</f>
        <v>海南省五指山市锦绣花园</v>
      </c>
      <c r="G236" s="5" t="s">
        <v>235</v>
      </c>
      <c r="H236" s="5" t="s">
        <v>7</v>
      </c>
    </row>
    <row r="237" ht="24.95" customHeight="1" spans="1:8">
      <c r="A237" s="7" t="str">
        <f>"219120191016155846167087"</f>
        <v>219120191016155846167087</v>
      </c>
      <c r="B237" s="5">
        <v>234</v>
      </c>
      <c r="C237" s="5" t="str">
        <f>"刘名煌"</f>
        <v>刘名煌</v>
      </c>
      <c r="D237" s="5" t="str">
        <f>"460006199103174615"</f>
        <v>460006199103174615</v>
      </c>
      <c r="E237" s="5" t="str">
        <f>"海南省万宁市东澳镇新群村委会东村"</f>
        <v>海南省万宁市东澳镇新群村委会东村</v>
      </c>
      <c r="F237" s="5" t="str">
        <f>"海口市滨海第九小学西海岸校区"</f>
        <v>海口市滨海第九小学西海岸校区</v>
      </c>
      <c r="G237" s="5" t="s">
        <v>236</v>
      </c>
      <c r="H237" s="5" t="s">
        <v>7</v>
      </c>
    </row>
    <row r="238" ht="24.95" customHeight="1" spans="1:8">
      <c r="A238" s="7" t="str">
        <f>"219120191016180506167175"</f>
        <v>219120191016180506167175</v>
      </c>
      <c r="B238" s="5">
        <v>235</v>
      </c>
      <c r="C238" s="5" t="str">
        <f>"王康岛"</f>
        <v>王康岛</v>
      </c>
      <c r="D238" s="5" t="str">
        <f>"460025199202110915"</f>
        <v>460025199202110915</v>
      </c>
      <c r="E238" s="5" t="str">
        <f>"海南省定安县"</f>
        <v>海南省定安县</v>
      </c>
      <c r="F238" s="5" t="str">
        <f>"海南省定安县新竹镇祖坡村委会局福村居中队"</f>
        <v>海南省定安县新竹镇祖坡村委会局福村居中队</v>
      </c>
      <c r="G238" s="5" t="s">
        <v>237</v>
      </c>
      <c r="H238" s="5" t="s">
        <v>7</v>
      </c>
    </row>
    <row r="239" ht="24.95" customHeight="1" spans="1:8">
      <c r="A239" s="7" t="str">
        <f>"219120191016194138167222"</f>
        <v>219120191016194138167222</v>
      </c>
      <c r="B239" s="5">
        <v>236</v>
      </c>
      <c r="C239" s="5" t="str">
        <f>"杨亚祥"</f>
        <v>杨亚祥</v>
      </c>
      <c r="D239" s="5" t="str">
        <f>"460034199402135013"</f>
        <v>460034199402135013</v>
      </c>
      <c r="E239" s="5" t="str">
        <f>"海南省陵水黎族自治县黎安镇"</f>
        <v>海南省陵水黎族自治县黎安镇</v>
      </c>
      <c r="F239" s="5" t="str">
        <f>"海南省陵水黎族自治县黎安镇后岭村委会后岭村"</f>
        <v>海南省陵水黎族自治县黎安镇后岭村委会后岭村</v>
      </c>
      <c r="G239" s="5" t="s">
        <v>238</v>
      </c>
      <c r="H239" s="5" t="s">
        <v>7</v>
      </c>
    </row>
    <row r="240" ht="24.95" customHeight="1" spans="1:8">
      <c r="A240" s="7" t="str">
        <f>"219120191016210702167271"</f>
        <v>219120191016210702167271</v>
      </c>
      <c r="B240" s="5">
        <v>237</v>
      </c>
      <c r="C240" s="5" t="str">
        <f>"黄文杰"</f>
        <v>黄文杰</v>
      </c>
      <c r="D240" s="5" t="str">
        <f>"460035199409102712"</f>
        <v>460035199409102712</v>
      </c>
      <c r="E240" s="5" t="str">
        <f>"海南省保亭黎族苗族自治县响水镇毛岸陡水河村"</f>
        <v>海南省保亭黎族苗族自治县响水镇毛岸陡水河村</v>
      </c>
      <c r="F240" s="5" t="str">
        <f>"海南省保亭黎族苗族自治县响水镇毛岸陡水河村"</f>
        <v>海南省保亭黎族苗族自治县响水镇毛岸陡水河村</v>
      </c>
      <c r="G240" s="5" t="s">
        <v>239</v>
      </c>
      <c r="H240" s="5" t="s">
        <v>7</v>
      </c>
    </row>
    <row r="241" ht="24.95" customHeight="1" spans="1:8">
      <c r="A241" s="7" t="str">
        <f>"219120191017090656167356"</f>
        <v>219120191017090656167356</v>
      </c>
      <c r="B241" s="5">
        <v>238</v>
      </c>
      <c r="C241" s="5" t="str">
        <f>"夏宏琼"</f>
        <v>夏宏琼</v>
      </c>
      <c r="D241" s="5" t="str">
        <f>"460001199704100011"</f>
        <v>460001199704100011</v>
      </c>
      <c r="E241" s="5" t="str">
        <f>"海南省五指山市公安局红星派出所"</f>
        <v>海南省五指山市公安局红星派出所</v>
      </c>
      <c r="F241" s="5" t="str">
        <f>"海南省五指山市畅好农场9队"</f>
        <v>海南省五指山市畅好农场9队</v>
      </c>
      <c r="G241" s="5" t="s">
        <v>240</v>
      </c>
      <c r="H241" s="5" t="s">
        <v>7</v>
      </c>
    </row>
    <row r="242" ht="24.95" customHeight="1" spans="1:8">
      <c r="A242" s="7" t="str">
        <f>"219120191017205512167685"</f>
        <v>219120191017205512167685</v>
      </c>
      <c r="B242" s="5">
        <v>239</v>
      </c>
      <c r="C242" s="5" t="str">
        <f>"张艺凡"</f>
        <v>张艺凡</v>
      </c>
      <c r="D242" s="5" t="str">
        <f>"460003199606215213"</f>
        <v>460003199606215213</v>
      </c>
      <c r="E242" s="5" t="str">
        <f>"海南省海口市龙华区城西镇学院路4号"</f>
        <v>海南省海口市龙华区城西镇学院路4号</v>
      </c>
      <c r="F242" s="5" t="str">
        <f>"海南省龙华区城西镇学院路4号农科院新三栋三单元1802"</f>
        <v>海南省龙华区城西镇学院路4号农科院新三栋三单元1802</v>
      </c>
      <c r="G242" s="5" t="s">
        <v>241</v>
      </c>
      <c r="H242" s="5" t="s">
        <v>7</v>
      </c>
    </row>
    <row r="243" ht="24.95" customHeight="1" spans="1:8">
      <c r="A243" s="7" t="str">
        <f>"219120191017223534167722"</f>
        <v>219120191017223534167722</v>
      </c>
      <c r="B243" s="5">
        <v>240</v>
      </c>
      <c r="C243" s="5" t="str">
        <f>"王卉"</f>
        <v>王卉</v>
      </c>
      <c r="D243" s="5" t="str">
        <f>"411303199702161022"</f>
        <v>411303199702161022</v>
      </c>
      <c r="E243" s="5" t="str">
        <f>"海南省三亚市"</f>
        <v>海南省三亚市</v>
      </c>
      <c r="F243" s="5" t="str">
        <f>"海南省三亚市天涯区金鸡岭社区西二巷鱼儿故事"</f>
        <v>海南省三亚市天涯区金鸡岭社区西二巷鱼儿故事</v>
      </c>
      <c r="G243" s="5" t="s">
        <v>242</v>
      </c>
      <c r="H243" s="5" t="s">
        <v>7</v>
      </c>
    </row>
    <row r="244" ht="24.95" customHeight="1" spans="1:8">
      <c r="A244" s="7" t="str">
        <f>"219120191017235913167744"</f>
        <v>219120191017235913167744</v>
      </c>
      <c r="B244" s="5">
        <v>241</v>
      </c>
      <c r="C244" s="5" t="str">
        <f>"蒙钟政"</f>
        <v>蒙钟政</v>
      </c>
      <c r="D244" s="5" t="str">
        <f>"460004199001020858"</f>
        <v>460004199001020858</v>
      </c>
      <c r="E244" s="5" t="str">
        <f>"海南省海口市"</f>
        <v>海南省海口市</v>
      </c>
      <c r="F244" s="5" t="str">
        <f>"海南省海口市海甸岛西溪里二期3栋"</f>
        <v>海南省海口市海甸岛西溪里二期3栋</v>
      </c>
      <c r="G244" s="5" t="s">
        <v>243</v>
      </c>
      <c r="H244" s="5" t="s">
        <v>7</v>
      </c>
    </row>
    <row r="245" ht="24.95" customHeight="1" spans="1:8">
      <c r="A245" s="7" t="str">
        <f>"219120191018080930167754"</f>
        <v>219120191018080930167754</v>
      </c>
      <c r="B245" s="5">
        <v>242</v>
      </c>
      <c r="C245" s="5" t="str">
        <f>"张运仕"</f>
        <v>张运仕</v>
      </c>
      <c r="D245" s="5" t="str">
        <f>"460027199305100413"</f>
        <v>460027199305100413</v>
      </c>
      <c r="E245" s="5" t="str">
        <f>"海南省澄迈县公安局"</f>
        <v>海南省澄迈县公安局</v>
      </c>
      <c r="F245" s="5" t="str">
        <f>"海南省海口市美兰区和平大道金色假日"</f>
        <v>海南省海口市美兰区和平大道金色假日</v>
      </c>
      <c r="G245" s="5" t="s">
        <v>244</v>
      </c>
      <c r="H245" s="5" t="s">
        <v>7</v>
      </c>
    </row>
    <row r="246" ht="24.95" customHeight="1" spans="1:8">
      <c r="A246" s="7" t="str">
        <f>"219120191018090448167773"</f>
        <v>219120191018090448167773</v>
      </c>
      <c r="B246" s="5">
        <v>243</v>
      </c>
      <c r="C246" s="5" t="str">
        <f>"周传史"</f>
        <v>周传史</v>
      </c>
      <c r="D246" s="5" t="str">
        <f>"46002719930102373X"</f>
        <v>46002719930102373X</v>
      </c>
      <c r="E246" s="5" t="str">
        <f>"海南省澄迈县永发镇"</f>
        <v>海南省澄迈县永发镇</v>
      </c>
      <c r="F246" s="5" t="str">
        <f>"海南省澄迈县永发镇卜厚村委会卜厚村"</f>
        <v>海南省澄迈县永发镇卜厚村委会卜厚村</v>
      </c>
      <c r="G246" s="5" t="s">
        <v>245</v>
      </c>
      <c r="H246" s="5" t="s">
        <v>7</v>
      </c>
    </row>
    <row r="247" ht="24.95" customHeight="1" spans="1:8">
      <c r="A247" s="7" t="str">
        <f>"219120191018102656167817"</f>
        <v>219120191018102656167817</v>
      </c>
      <c r="B247" s="5">
        <v>244</v>
      </c>
      <c r="C247" s="5" t="str">
        <f>"王业东"</f>
        <v>王业东</v>
      </c>
      <c r="D247" s="5" t="str">
        <f>"460027199509197616"</f>
        <v>460027199509197616</v>
      </c>
      <c r="E247" s="5" t="str">
        <f>"海南省澄迈县"</f>
        <v>海南省澄迈县</v>
      </c>
      <c r="F247" s="5" t="str">
        <f>"海南省澄迈县红岗农场二队43号"</f>
        <v>海南省澄迈县红岗农场二队43号</v>
      </c>
      <c r="G247" s="5" t="s">
        <v>246</v>
      </c>
      <c r="H247" s="5" t="s">
        <v>7</v>
      </c>
    </row>
    <row r="248" ht="24.95" customHeight="1" spans="1:8">
      <c r="A248" s="7" t="str">
        <f>"219120191018112347167861"</f>
        <v>219120191018112347167861</v>
      </c>
      <c r="B248" s="5">
        <v>245</v>
      </c>
      <c r="C248" s="5" t="str">
        <f>"李锦垣"</f>
        <v>李锦垣</v>
      </c>
      <c r="D248" s="5" t="str">
        <f>"460026199209100951"</f>
        <v>460026199209100951</v>
      </c>
      <c r="E248" s="5" t="str">
        <f>"海南省屯昌县南吕镇"</f>
        <v>海南省屯昌县南吕镇</v>
      </c>
      <c r="F248" s="5" t="str">
        <f>"海南省屯昌县南吕镇大罗村委会石弄坡村23号"</f>
        <v>海南省屯昌县南吕镇大罗村委会石弄坡村23号</v>
      </c>
      <c r="G248" s="5" t="s">
        <v>247</v>
      </c>
      <c r="H248" s="5" t="s">
        <v>7</v>
      </c>
    </row>
    <row r="249" ht="24.95" customHeight="1" spans="1:8">
      <c r="A249" s="7" t="str">
        <f>"219120191018123757167895"</f>
        <v>219120191018123757167895</v>
      </c>
      <c r="B249" s="5">
        <v>246</v>
      </c>
      <c r="C249" s="5" t="str">
        <f>"黎婉念"</f>
        <v>黎婉念</v>
      </c>
      <c r="D249" s="5" t="str">
        <f>"452629199503060323"</f>
        <v>452629199503060323</v>
      </c>
      <c r="E249" s="5" t="str">
        <f>"海南省三亚市"</f>
        <v>海南省三亚市</v>
      </c>
      <c r="F249" s="5" t="str">
        <f>"海南省三亚市吉阳区同心家园"</f>
        <v>海南省三亚市吉阳区同心家园</v>
      </c>
      <c r="G249" s="5" t="s">
        <v>248</v>
      </c>
      <c r="H249" s="5" t="s">
        <v>7</v>
      </c>
    </row>
    <row r="250" ht="24.95" customHeight="1" spans="1:8">
      <c r="A250" s="7" t="str">
        <f>"219120191018163201167984"</f>
        <v>219120191018163201167984</v>
      </c>
      <c r="B250" s="5">
        <v>247</v>
      </c>
      <c r="C250" s="5" t="str">
        <f>"朱瑞婷"</f>
        <v>朱瑞婷</v>
      </c>
      <c r="D250" s="5" t="str">
        <f>"460001199408150620"</f>
        <v>460001199408150620</v>
      </c>
      <c r="E250" s="5" t="str">
        <f>"海南省五指山市"</f>
        <v>海南省五指山市</v>
      </c>
      <c r="F250" s="5" t="str">
        <f>"海南省五指山市畅好乡保国新村14号"</f>
        <v>海南省五指山市畅好乡保国新村14号</v>
      </c>
      <c r="G250" s="5" t="s">
        <v>249</v>
      </c>
      <c r="H250" s="5" t="s">
        <v>7</v>
      </c>
    </row>
    <row r="251" ht="24.95" customHeight="1" spans="1:8">
      <c r="A251" s="7" t="str">
        <f>"219120191019124224168175"</f>
        <v>219120191019124224168175</v>
      </c>
      <c r="B251" s="5">
        <v>248</v>
      </c>
      <c r="C251" s="5" t="str">
        <f>"卢德吉"</f>
        <v>卢德吉</v>
      </c>
      <c r="D251" s="5" t="str">
        <f>"460027199601073712"</f>
        <v>460027199601073712</v>
      </c>
      <c r="E251" s="5" t="str">
        <f>"海南省澄迈县永发镇永灵村"</f>
        <v>海南省澄迈县永发镇永灵村</v>
      </c>
      <c r="F251" s="5" t="str">
        <f>"海南省澄迈县永发镇永灵村"</f>
        <v>海南省澄迈县永发镇永灵村</v>
      </c>
      <c r="G251" s="5" t="s">
        <v>250</v>
      </c>
      <c r="H251" s="5" t="s">
        <v>7</v>
      </c>
    </row>
    <row r="252" ht="24.95" customHeight="1" spans="1:8">
      <c r="A252" s="7" t="str">
        <f>"219120191020133247168417"</f>
        <v>219120191020133247168417</v>
      </c>
      <c r="B252" s="5">
        <v>249</v>
      </c>
      <c r="C252" s="5" t="str">
        <f>"杨或"</f>
        <v>杨或</v>
      </c>
      <c r="D252" s="5" t="str">
        <f>"460001199109230516"</f>
        <v>460001199109230516</v>
      </c>
      <c r="E252" s="5" t="str">
        <f>"海南省五指山市"</f>
        <v>海南省五指山市</v>
      </c>
      <c r="F252" s="5" t="str">
        <f>"海南省五指山市锦绣花园17栋一单元"</f>
        <v>海南省五指山市锦绣花园17栋一单元</v>
      </c>
      <c r="G252" s="5" t="s">
        <v>251</v>
      </c>
      <c r="H252" s="5" t="s">
        <v>7</v>
      </c>
    </row>
    <row r="253" ht="24.95" customHeight="1" spans="1:8">
      <c r="A253" s="7" t="str">
        <f>"219120191020142342168434"</f>
        <v>219120191020142342168434</v>
      </c>
      <c r="B253" s="5">
        <v>250</v>
      </c>
      <c r="C253" s="5" t="str">
        <f>"黄仁龙"</f>
        <v>黄仁龙</v>
      </c>
      <c r="D253" s="5" t="str">
        <f>"460034199402135515"</f>
        <v>460034199402135515</v>
      </c>
      <c r="E253" s="5" t="str">
        <f>"海南省陵水黎族自治县南平农场"</f>
        <v>海南省陵水黎族自治县南平农场</v>
      </c>
      <c r="F253" s="5" t="str">
        <f>"海南省陵水黎族自治县南平农场"</f>
        <v>海南省陵水黎族自治县南平农场</v>
      </c>
      <c r="G253" s="5" t="s">
        <v>252</v>
      </c>
      <c r="H253" s="5" t="s">
        <v>7</v>
      </c>
    </row>
    <row r="254" ht="24.95" customHeight="1" spans="1:8">
      <c r="A254" s="7" t="str">
        <f>"219120191014192006165928"</f>
        <v>219120191014192006165928</v>
      </c>
      <c r="B254" s="5">
        <v>251</v>
      </c>
      <c r="C254" s="5" t="str">
        <f>"姚仕海"</f>
        <v>姚仕海</v>
      </c>
      <c r="D254" s="5" t="str">
        <f>"522627199001295216"</f>
        <v>522627199001295216</v>
      </c>
      <c r="E254" s="5" t="str">
        <f>"贵州省天柱县白市镇"</f>
        <v>贵州省天柱县白市镇</v>
      </c>
      <c r="F254" s="5" t="str">
        <f>"海南省临高县多文镇红华中学"</f>
        <v>海南省临高县多文镇红华中学</v>
      </c>
      <c r="G254" s="5" t="s">
        <v>253</v>
      </c>
      <c r="H254" s="5" t="s">
        <v>7</v>
      </c>
    </row>
    <row r="255" ht="24.95" customHeight="1" spans="1:8">
      <c r="A255" s="7" t="str">
        <f>"219120191015111730166309"</f>
        <v>219120191015111730166309</v>
      </c>
      <c r="B255" s="5">
        <v>252</v>
      </c>
      <c r="C255" s="5" t="str">
        <f>"林川"</f>
        <v>林川</v>
      </c>
      <c r="D255" s="5" t="str">
        <f>"460027199404264114"</f>
        <v>460027199404264114</v>
      </c>
      <c r="E255" s="5" t="str">
        <f>"海南省澄迈县"</f>
        <v>海南省澄迈县</v>
      </c>
      <c r="F255" s="5" t="str">
        <f>"海南省澄迈县老城镇白莲中学"</f>
        <v>海南省澄迈县老城镇白莲中学</v>
      </c>
      <c r="G255" s="5" t="s">
        <v>254</v>
      </c>
      <c r="H255" s="5" t="s">
        <v>7</v>
      </c>
    </row>
    <row r="256" ht="24.95" customHeight="1" spans="1:8">
      <c r="A256" s="7" t="str">
        <f>"219120191016112159166934"</f>
        <v>219120191016112159166934</v>
      </c>
      <c r="B256" s="5">
        <v>253</v>
      </c>
      <c r="C256" s="5" t="str">
        <f>"符绩健"</f>
        <v>符绩健</v>
      </c>
      <c r="D256" s="5" t="str">
        <f>"460005199701263734"</f>
        <v>460005199701263734</v>
      </c>
      <c r="E256" s="5" t="str">
        <f>"海南省文昌市"</f>
        <v>海南省文昌市</v>
      </c>
      <c r="F256" s="5" t="str">
        <f>"海南省文昌市公坡镇新华村委会茂亭一村13号"</f>
        <v>海南省文昌市公坡镇新华村委会茂亭一村13号</v>
      </c>
      <c r="G256" s="5" t="s">
        <v>255</v>
      </c>
      <c r="H256" s="5" t="s">
        <v>7</v>
      </c>
    </row>
    <row r="257" ht="24.95" customHeight="1" spans="1:8">
      <c r="A257" s="7" t="str">
        <f>"219120191018173633168011"</f>
        <v>219120191018173633168011</v>
      </c>
      <c r="B257" s="5">
        <v>254</v>
      </c>
      <c r="C257" s="5" t="str">
        <f>"李雪梅"</f>
        <v>李雪梅</v>
      </c>
      <c r="D257" s="5" t="str">
        <f>"411403199702055428"</f>
        <v>411403199702055428</v>
      </c>
      <c r="E257" s="5" t="str">
        <f>"河南省商丘市梁园区"</f>
        <v>河南省商丘市梁园区</v>
      </c>
      <c r="F257" s="5" t="str">
        <f>"海南省海口市秀英区双拥路九号"</f>
        <v>海南省海口市秀英区双拥路九号</v>
      </c>
      <c r="G257" s="5" t="s">
        <v>256</v>
      </c>
      <c r="H257" s="5" t="s">
        <v>7</v>
      </c>
    </row>
  </sheetData>
  <mergeCells count="1">
    <mergeCell ref="B2:H2"/>
  </mergeCells>
  <pageMargins left="0.748031496062992" right="0.748031496062992" top="0.984251968503937" bottom="0.984251968503937" header="0.511811023622047" footer="0.511811023622047"/>
  <pageSetup paperSize="128" orientation="landscape" horizontalDpi="180" verticalDpi="18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五指山中学合格人员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未定义</cp:lastModifiedBy>
  <dcterms:created xsi:type="dcterms:W3CDTF">2019-11-04T09:16:00Z</dcterms:created>
  <cp:lastPrinted>2019-11-05T06:11:00Z</cp:lastPrinted>
  <dcterms:modified xsi:type="dcterms:W3CDTF">2019-11-05T08:57:09Z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ies>
</file>